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\\pu1.uktsg.ch\User\Userhomes_P\iaa9495\Desktop\"/>
    </mc:Choice>
  </mc:AlternateContent>
  <workbookProtection workbookAlgorithmName="SHA-512" workbookHashValue="/5M9VdgxgoMJm0MiLq612wJQ3/CE6EBl2Gi629cuRKD/CZors7NVplZajfv7DiZKJNX2K+6QQgy8evR3PmvxnA==" workbookSaltValue="OrGM1QL0l+K1HLB3HOTBtA==" workbookSpinCount="100000" lockStructure="1"/>
  <bookViews>
    <workbookView xWindow="0" yWindow="0" windowWidth="28770" windowHeight="11250" firstSheet="11" activeTab="11"/>
  </bookViews>
  <sheets>
    <sheet name="Anleitung" sheetId="25" state="hidden" r:id="rId1"/>
    <sheet name="Ressourcenausgleich Basis" sheetId="1" state="hidden" r:id="rId2"/>
    <sheet name="SL Weite Basis" sheetId="10" state="hidden" r:id="rId3"/>
    <sheet name="SL Schule Basis" sheetId="9" state="hidden" r:id="rId4"/>
    <sheet name="SL Sozio Basis" sheetId="11" state="hidden" r:id="rId5"/>
    <sheet name="SL Stadt SG Basis" sheetId="8" state="hidden" r:id="rId6"/>
    <sheet name="Total" sheetId="19" state="hidden" r:id="rId7"/>
    <sheet name="Auszahlungen" sheetId="23" state="hidden" r:id="rId8"/>
    <sheet name="Kreditorenbelege" sheetId="20" state="hidden" r:id="rId9"/>
    <sheet name="Kontierungsbelege" sheetId="24" state="hidden" r:id="rId10"/>
    <sheet name="Serienbrief Verfügung" sheetId="26" state="hidden" r:id="rId11"/>
    <sheet name="Finanzausgleichsbeiträge" sheetId="14" r:id="rId12"/>
    <sheet name="Details Ressourcenausgleich" sheetId="13" r:id="rId13"/>
    <sheet name="Details SL Weite" sheetId="15" r:id="rId14"/>
    <sheet name="Details SL Schule" sheetId="17" r:id="rId15"/>
    <sheet name="Details SL Sozio" sheetId="16" r:id="rId16"/>
    <sheet name="Details SL Stadt SG" sheetId="18" r:id="rId17"/>
  </sheets>
  <definedNames>
    <definedName name="_xlnm.Print_Area" localSheetId="7">Auszahlungen!$A$1:$H$84,Auszahlungen!$J$1:$Q$84,Auszahlungen!$S$1:$Z$84,Auszahlungen!$AB$1:$AI$84</definedName>
    <definedName name="_xlnm.Print_Area" localSheetId="9">Kontierungsbelege!$A$1:$E$30,Kontierungsbelege!$G$1:$K$30,Kontierungsbelege!$M$1:$Q$30,Kontierungsbelege!$S$1:$W$30</definedName>
    <definedName name="_xlnm.Print_Area" localSheetId="8">Kreditorenbelege!$A$1:$G$84,Kreditorenbelege!$I$1:$O$84,Kreditorenbelege!$Q$1:$W$84,Kreditorenbelege!$Y$1:$AE$84</definedName>
    <definedName name="_xlnm.Print_Area" localSheetId="6">Total!$A$5:$H$83,Total!#REF!,Total!#REF!,Total!#REF!,Total!#REF!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7" l="1"/>
  <c r="C40" i="17"/>
  <c r="C31" i="17"/>
  <c r="C30" i="17"/>
  <c r="C21" i="17"/>
  <c r="C20" i="17"/>
  <c r="C19" i="17"/>
  <c r="BH21" i="1" l="1"/>
  <c r="BH19" i="1"/>
  <c r="BG19" i="1"/>
  <c r="BH70" i="1"/>
  <c r="BH58" i="1"/>
  <c r="BH53" i="1"/>
  <c r="BH48" i="1"/>
  <c r="BH39" i="1"/>
  <c r="BH41" i="1" s="1"/>
  <c r="BH32" i="1"/>
  <c r="BH26" i="1"/>
  <c r="BH17" i="1"/>
  <c r="F58" i="26" l="1"/>
  <c r="P64" i="23"/>
  <c r="Y64" i="23"/>
  <c r="G64" i="23"/>
  <c r="BH33" i="9"/>
  <c r="BH20" i="9"/>
  <c r="BH12" i="9"/>
  <c r="BH41" i="9" s="1"/>
  <c r="BH39" i="10"/>
  <c r="BH12" i="10"/>
  <c r="BH29" i="10" s="1"/>
  <c r="BH31" i="10" s="1"/>
  <c r="BH33" i="10" s="1"/>
  <c r="BH31" i="9" l="1"/>
  <c r="BH41" i="10"/>
  <c r="BH46" i="10"/>
  <c r="BH48" i="10" s="1"/>
  <c r="BH50" i="10" s="1"/>
  <c r="BH56" i="10"/>
  <c r="BH20" i="10"/>
  <c r="BH22" i="10" s="1"/>
  <c r="BH24" i="10" s="1"/>
  <c r="AH64" i="23"/>
  <c r="BH58" i="10" l="1"/>
  <c r="BH70" i="10" s="1"/>
  <c r="BH12" i="11"/>
  <c r="BH44" i="11" s="1"/>
  <c r="BH22" i="11" l="1"/>
  <c r="BH33" i="11"/>
  <c r="BH109" i="1"/>
  <c r="BH135" i="1" s="1"/>
  <c r="BH104" i="1"/>
  <c r="BH134" i="1" s="1"/>
  <c r="BH83" i="1"/>
  <c r="BH131" i="1" s="1"/>
  <c r="BH116" i="1"/>
  <c r="BH117" i="1"/>
  <c r="BH119" i="1"/>
  <c r="BH120" i="1"/>
  <c r="BH121" i="1"/>
  <c r="BH90" i="1"/>
  <c r="BH92" i="1" s="1"/>
  <c r="BH77" i="1"/>
  <c r="BH130" i="1" s="1"/>
  <c r="BH99" i="1" l="1"/>
  <c r="BH133" i="1" s="1"/>
  <c r="BH68" i="1"/>
  <c r="F3" i="26" l="1"/>
  <c r="F4" i="26"/>
  <c r="F5" i="26"/>
  <c r="F6" i="26"/>
  <c r="F7" i="26"/>
  <c r="F8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40" i="26"/>
  <c r="F41" i="26"/>
  <c r="F42" i="26"/>
  <c r="F43" i="26"/>
  <c r="F44" i="26"/>
  <c r="F45" i="26"/>
  <c r="F46" i="26"/>
  <c r="F47" i="26"/>
  <c r="F48" i="26"/>
  <c r="F49" i="26"/>
  <c r="F50" i="26"/>
  <c r="F51" i="26"/>
  <c r="F52" i="26"/>
  <c r="F53" i="26"/>
  <c r="F54" i="26"/>
  <c r="F55" i="26"/>
  <c r="F56" i="26"/>
  <c r="F57" i="26"/>
  <c r="F59" i="26"/>
  <c r="F60" i="26"/>
  <c r="F61" i="26"/>
  <c r="F62" i="26"/>
  <c r="F63" i="26"/>
  <c r="F64" i="26"/>
  <c r="F65" i="26"/>
  <c r="F66" i="26"/>
  <c r="F67" i="26"/>
  <c r="F68" i="26"/>
  <c r="F69" i="26"/>
  <c r="F70" i="26"/>
  <c r="F71" i="26"/>
  <c r="F72" i="26"/>
  <c r="F73" i="26"/>
  <c r="F74" i="26"/>
  <c r="F75" i="26"/>
  <c r="F76" i="26"/>
  <c r="B13" i="18" l="1"/>
  <c r="B14" i="18"/>
  <c r="B16" i="18"/>
  <c r="B17" i="18"/>
  <c r="B19" i="18"/>
  <c r="B11" i="18"/>
  <c r="B16" i="16"/>
  <c r="B18" i="16"/>
  <c r="B20" i="16"/>
  <c r="B22" i="16"/>
  <c r="B23" i="16"/>
  <c r="B25" i="16"/>
  <c r="B28" i="16"/>
  <c r="B30" i="16"/>
  <c r="B31" i="16"/>
  <c r="B33" i="16"/>
  <c r="B34" i="16"/>
  <c r="B36" i="16"/>
  <c r="B39" i="16"/>
  <c r="B41" i="16"/>
  <c r="B42" i="16"/>
  <c r="B44" i="16"/>
  <c r="B45" i="16"/>
  <c r="B47" i="16"/>
  <c r="B50" i="16"/>
  <c r="B52" i="16"/>
  <c r="B53" i="16"/>
  <c r="B54" i="16"/>
  <c r="B56" i="16"/>
  <c r="B11" i="16"/>
  <c r="B15" i="17"/>
  <c r="B16" i="17"/>
  <c r="B18" i="17"/>
  <c r="B19" i="17"/>
  <c r="B20" i="17"/>
  <c r="B21" i="17"/>
  <c r="B23" i="17"/>
  <c r="B26" i="17"/>
  <c r="B28" i="17"/>
  <c r="B30" i="17"/>
  <c r="B31" i="17"/>
  <c r="B32" i="17"/>
  <c r="B33" i="17"/>
  <c r="B34" i="17"/>
  <c r="B36" i="17"/>
  <c r="B38" i="17"/>
  <c r="B40" i="17"/>
  <c r="B41" i="17"/>
  <c r="B42" i="17"/>
  <c r="B44" i="17"/>
  <c r="B46" i="17"/>
  <c r="B48" i="17"/>
  <c r="B50" i="17"/>
  <c r="B52" i="17"/>
  <c r="B53" i="17"/>
  <c r="B56" i="17"/>
  <c r="B58" i="17"/>
  <c r="B59" i="17"/>
  <c r="B61" i="17"/>
  <c r="B63" i="17"/>
  <c r="B65" i="17"/>
  <c r="B11" i="17"/>
  <c r="B16" i="15"/>
  <c r="B18" i="15"/>
  <c r="B20" i="15"/>
  <c r="B21" i="15"/>
  <c r="B22" i="15"/>
  <c r="B23" i="15"/>
  <c r="B25" i="15"/>
  <c r="B27" i="15"/>
  <c r="B29" i="15"/>
  <c r="B30" i="15"/>
  <c r="B31" i="15"/>
  <c r="B32" i="15"/>
  <c r="B34" i="15"/>
  <c r="B36" i="15"/>
  <c r="B38" i="15"/>
  <c r="B39" i="15"/>
  <c r="B40" i="15"/>
  <c r="B42" i="15"/>
  <c r="B44" i="15"/>
  <c r="B46" i="15"/>
  <c r="B47" i="15"/>
  <c r="B48" i="15"/>
  <c r="B49" i="15"/>
  <c r="B51" i="15"/>
  <c r="B53" i="15"/>
  <c r="B55" i="15"/>
  <c r="B57" i="15"/>
  <c r="B59" i="15"/>
  <c r="B61" i="15"/>
  <c r="B63" i="15"/>
  <c r="B65" i="15"/>
  <c r="B66" i="15"/>
  <c r="B69" i="15"/>
  <c r="B71" i="15"/>
  <c r="B73" i="15"/>
  <c r="B75" i="15"/>
  <c r="B11" i="15"/>
  <c r="B144" i="13"/>
  <c r="B145" i="13"/>
  <c r="B148" i="13"/>
  <c r="B150" i="13"/>
  <c r="B152" i="13"/>
  <c r="B113" i="13"/>
  <c r="B115" i="13"/>
  <c r="B116" i="13"/>
  <c r="B117" i="13"/>
  <c r="B118" i="13"/>
  <c r="B119" i="13"/>
  <c r="B120" i="13"/>
  <c r="B121" i="13"/>
  <c r="B122" i="13"/>
  <c r="B123" i="13"/>
  <c r="B125" i="13"/>
  <c r="B127" i="13"/>
  <c r="B129" i="13"/>
  <c r="B130" i="13"/>
  <c r="B131" i="13"/>
  <c r="B132" i="13"/>
  <c r="B133" i="13"/>
  <c r="B134" i="13"/>
  <c r="B135" i="13"/>
  <c r="B136" i="13"/>
  <c r="B137" i="13"/>
  <c r="B139" i="13"/>
  <c r="B141" i="13"/>
  <c r="B97" i="13"/>
  <c r="B98" i="13"/>
  <c r="B99" i="13"/>
  <c r="B100" i="13"/>
  <c r="B102" i="13"/>
  <c r="B103" i="13"/>
  <c r="B104" i="13"/>
  <c r="B105" i="13"/>
  <c r="B107" i="13"/>
  <c r="B108" i="13"/>
  <c r="B109" i="13"/>
  <c r="B110" i="13"/>
  <c r="B84" i="13"/>
  <c r="B64" i="13"/>
  <c r="B65" i="13"/>
  <c r="B67" i="13"/>
  <c r="B68" i="13"/>
  <c r="B69" i="13"/>
  <c r="B71" i="13"/>
  <c r="B73" i="13"/>
  <c r="B75" i="13"/>
  <c r="B76" i="13"/>
  <c r="B77" i="13"/>
  <c r="B78" i="13"/>
  <c r="B80" i="13"/>
  <c r="B81" i="13"/>
  <c r="B82" i="13"/>
  <c r="B83" i="13"/>
  <c r="B86" i="13"/>
  <c r="B87" i="13"/>
  <c r="B89" i="13"/>
  <c r="B90" i="13"/>
  <c r="B91" i="13"/>
  <c r="B93" i="13"/>
  <c r="B95" i="13"/>
  <c r="B46" i="13"/>
  <c r="B47" i="13"/>
  <c r="B48" i="13"/>
  <c r="B49" i="13"/>
  <c r="B51" i="13"/>
  <c r="B52" i="13"/>
  <c r="B53" i="13"/>
  <c r="B54" i="13"/>
  <c r="B56" i="13"/>
  <c r="B57" i="13"/>
  <c r="B58" i="13"/>
  <c r="B59" i="13"/>
  <c r="B62" i="13"/>
  <c r="B24" i="13"/>
  <c r="B25" i="13"/>
  <c r="B26" i="13"/>
  <c r="B27" i="13"/>
  <c r="B29" i="13"/>
  <c r="B30" i="13"/>
  <c r="B31" i="13"/>
  <c r="B32" i="13"/>
  <c r="B33" i="13"/>
  <c r="B35" i="13"/>
  <c r="B36" i="13"/>
  <c r="B38" i="13"/>
  <c r="B39" i="13"/>
  <c r="B40" i="13"/>
  <c r="B42" i="13"/>
  <c r="B44" i="13"/>
  <c r="B13" i="13"/>
  <c r="B14" i="13"/>
  <c r="B16" i="13"/>
  <c r="B17" i="13"/>
  <c r="B18" i="13"/>
  <c r="B20" i="13"/>
  <c r="B22" i="13"/>
  <c r="B11" i="13"/>
  <c r="D12" i="11" l="1"/>
  <c r="D44" i="11" l="1"/>
  <c r="D33" i="11"/>
  <c r="Y9" i="23"/>
  <c r="Y10" i="23"/>
  <c r="Y11" i="23"/>
  <c r="Y12" i="23"/>
  <c r="Y13" i="23"/>
  <c r="Y14" i="23"/>
  <c r="Y15" i="23"/>
  <c r="Y16" i="23"/>
  <c r="Y17" i="23"/>
  <c r="Y18" i="23"/>
  <c r="Y19" i="23"/>
  <c r="Y20" i="23"/>
  <c r="Y21" i="23"/>
  <c r="Y22" i="23"/>
  <c r="Y23" i="23"/>
  <c r="Y24" i="23"/>
  <c r="Y25" i="23"/>
  <c r="Y26" i="23"/>
  <c r="Y27" i="23"/>
  <c r="Y28" i="23"/>
  <c r="Y29" i="23"/>
  <c r="Y30" i="23"/>
  <c r="Y31" i="23"/>
  <c r="Y32" i="23"/>
  <c r="Y33" i="23"/>
  <c r="Y34" i="23"/>
  <c r="Y35" i="23"/>
  <c r="Y36" i="23"/>
  <c r="Y37" i="23"/>
  <c r="Y38" i="23"/>
  <c r="Y39" i="23"/>
  <c r="Y40" i="23"/>
  <c r="Y41" i="23"/>
  <c r="Y42" i="23"/>
  <c r="Y43" i="23"/>
  <c r="Y44" i="23"/>
  <c r="Y45" i="23"/>
  <c r="Y46" i="23"/>
  <c r="Y47" i="23"/>
  <c r="Y48" i="23"/>
  <c r="Y49" i="23"/>
  <c r="Y50" i="23"/>
  <c r="Y51" i="23"/>
  <c r="Y52" i="23"/>
  <c r="Y53" i="23"/>
  <c r="Y54" i="23"/>
  <c r="Y55" i="23"/>
  <c r="Y56" i="23"/>
  <c r="Y57" i="23"/>
  <c r="Y58" i="23"/>
  <c r="Y59" i="23"/>
  <c r="Y60" i="23"/>
  <c r="Y61" i="23"/>
  <c r="Y62" i="23"/>
  <c r="Y63" i="23"/>
  <c r="Y65" i="23"/>
  <c r="Y66" i="23"/>
  <c r="Y67" i="23"/>
  <c r="Y68" i="23"/>
  <c r="Y69" i="23"/>
  <c r="Y70" i="23"/>
  <c r="Y71" i="23"/>
  <c r="Y72" i="23"/>
  <c r="Y73" i="23"/>
  <c r="Y74" i="23"/>
  <c r="Y75" i="23"/>
  <c r="Y76" i="23"/>
  <c r="Y77" i="23"/>
  <c r="Y78" i="23"/>
  <c r="Y79" i="23"/>
  <c r="Y80" i="23"/>
  <c r="Y81" i="23"/>
  <c r="Y82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5" i="23"/>
  <c r="P26" i="23"/>
  <c r="P27" i="23"/>
  <c r="P28" i="23"/>
  <c r="P29" i="23"/>
  <c r="P30" i="23"/>
  <c r="P31" i="23"/>
  <c r="P32" i="23"/>
  <c r="P33" i="23"/>
  <c r="P34" i="23"/>
  <c r="P35" i="23"/>
  <c r="P36" i="23"/>
  <c r="P37" i="23"/>
  <c r="P38" i="23"/>
  <c r="P39" i="23"/>
  <c r="P40" i="23"/>
  <c r="P41" i="23"/>
  <c r="P42" i="23"/>
  <c r="P43" i="23"/>
  <c r="P44" i="23"/>
  <c r="P45" i="23"/>
  <c r="P46" i="23"/>
  <c r="P47" i="23"/>
  <c r="P48" i="23"/>
  <c r="P49" i="23"/>
  <c r="P50" i="23"/>
  <c r="P51" i="23"/>
  <c r="P52" i="23"/>
  <c r="P53" i="23"/>
  <c r="P54" i="23"/>
  <c r="P55" i="23"/>
  <c r="P56" i="23"/>
  <c r="P57" i="23"/>
  <c r="P58" i="23"/>
  <c r="P59" i="23"/>
  <c r="P60" i="23"/>
  <c r="P61" i="23"/>
  <c r="P62" i="23"/>
  <c r="P63" i="23"/>
  <c r="P65" i="23"/>
  <c r="P66" i="23"/>
  <c r="P67" i="23"/>
  <c r="P68" i="23"/>
  <c r="P69" i="23"/>
  <c r="P70" i="23"/>
  <c r="P71" i="23"/>
  <c r="P72" i="23"/>
  <c r="P73" i="23"/>
  <c r="P74" i="23"/>
  <c r="P75" i="23"/>
  <c r="P76" i="23"/>
  <c r="P77" i="23"/>
  <c r="P78" i="23"/>
  <c r="P79" i="23"/>
  <c r="P80" i="23"/>
  <c r="P81" i="23"/>
  <c r="P82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G51" i="23"/>
  <c r="G52" i="23"/>
  <c r="G53" i="23"/>
  <c r="G54" i="23"/>
  <c r="G55" i="23"/>
  <c r="G56" i="23"/>
  <c r="G57" i="23"/>
  <c r="G58" i="23"/>
  <c r="G59" i="23"/>
  <c r="G60" i="23"/>
  <c r="G61" i="23"/>
  <c r="G62" i="23"/>
  <c r="G63" i="23"/>
  <c r="G65" i="23"/>
  <c r="G66" i="23"/>
  <c r="G67" i="23"/>
  <c r="G68" i="23"/>
  <c r="G69" i="23"/>
  <c r="G70" i="23"/>
  <c r="G71" i="23"/>
  <c r="G72" i="23"/>
  <c r="G73" i="23"/>
  <c r="G74" i="23"/>
  <c r="G75" i="23"/>
  <c r="G76" i="23"/>
  <c r="G77" i="23"/>
  <c r="G78" i="23"/>
  <c r="G79" i="23"/>
  <c r="G80" i="23"/>
  <c r="G81" i="23"/>
  <c r="G82" i="23"/>
  <c r="AH66" i="23" l="1"/>
  <c r="AH60" i="23"/>
  <c r="AH52" i="23"/>
  <c r="AH82" i="23"/>
  <c r="AH74" i="23"/>
  <c r="AH48" i="23"/>
  <c r="AH72" i="23"/>
  <c r="AH80" i="23"/>
  <c r="AH76" i="23"/>
  <c r="AH68" i="23"/>
  <c r="AH62" i="23"/>
  <c r="AH58" i="23"/>
  <c r="AH54" i="23"/>
  <c r="AH50" i="23"/>
  <c r="AH46" i="23"/>
  <c r="AH44" i="23"/>
  <c r="AH40" i="23"/>
  <c r="AH38" i="23"/>
  <c r="AH36" i="23"/>
  <c r="AH34" i="23"/>
  <c r="AH32" i="23"/>
  <c r="AH30" i="23"/>
  <c r="AH28" i="23"/>
  <c r="AH24" i="23"/>
  <c r="AH22" i="23"/>
  <c r="AH20" i="23"/>
  <c r="AH18" i="23"/>
  <c r="AH16" i="23"/>
  <c r="AH14" i="23"/>
  <c r="AH12" i="23"/>
  <c r="AH81" i="23"/>
  <c r="AH79" i="23"/>
  <c r="AH77" i="23"/>
  <c r="AH75" i="23"/>
  <c r="AH73" i="23"/>
  <c r="AH71" i="23"/>
  <c r="AH69" i="23"/>
  <c r="AH67" i="23"/>
  <c r="AH65" i="23"/>
  <c r="AH63" i="23"/>
  <c r="AH61" i="23"/>
  <c r="AH59" i="23"/>
  <c r="AH57" i="23"/>
  <c r="AH55" i="23"/>
  <c r="AH53" i="23"/>
  <c r="AH51" i="23"/>
  <c r="AH49" i="23"/>
  <c r="AH47" i="23"/>
  <c r="AH45" i="23"/>
  <c r="AH43" i="23"/>
  <c r="AH41" i="23"/>
  <c r="AH39" i="23"/>
  <c r="AH37" i="23"/>
  <c r="AH35" i="23"/>
  <c r="AH33" i="23"/>
  <c r="AH29" i="23"/>
  <c r="AH27" i="23"/>
  <c r="AH25" i="23"/>
  <c r="AH23" i="23"/>
  <c r="AH19" i="23"/>
  <c r="AH17" i="23"/>
  <c r="AH15" i="23"/>
  <c r="AH13" i="23"/>
  <c r="AH11" i="23"/>
  <c r="AH9" i="23"/>
  <c r="AH78" i="23"/>
  <c r="AH70" i="23"/>
  <c r="AH56" i="23"/>
  <c r="AH42" i="23"/>
  <c r="AH26" i="23"/>
  <c r="AH10" i="23"/>
  <c r="AH31" i="23"/>
  <c r="AH21" i="23"/>
  <c r="C18" i="8"/>
  <c r="G8" i="19" s="1"/>
  <c r="P8" i="23" l="1"/>
  <c r="P83" i="23" s="1"/>
  <c r="K27" i="24" s="1"/>
  <c r="F2" i="26"/>
  <c r="F77" i="26" s="1"/>
  <c r="Y8" i="23"/>
  <c r="Y83" i="23" s="1"/>
  <c r="Q27" i="24" s="1"/>
  <c r="G8" i="23"/>
  <c r="G83" i="23" s="1"/>
  <c r="E27" i="24" s="1"/>
  <c r="G83" i="19"/>
  <c r="AH8" i="23" l="1"/>
  <c r="AH83" i="23" s="1"/>
  <c r="W27" i="24" s="1"/>
  <c r="D9" i="13"/>
  <c r="D16" i="13" s="1"/>
  <c r="C9" i="18"/>
  <c r="C17" i="18" s="1"/>
  <c r="C124" i="1"/>
  <c r="C12" i="9" s="1"/>
  <c r="C14" i="9"/>
  <c r="C17" i="9"/>
  <c r="C18" i="17" s="1"/>
  <c r="C18" i="9"/>
  <c r="C19" i="9"/>
  <c r="D9" i="17"/>
  <c r="AS20" i="9"/>
  <c r="AS12" i="9"/>
  <c r="AS41" i="9" s="1"/>
  <c r="AS33" i="9"/>
  <c r="D12" i="9"/>
  <c r="D33" i="9"/>
  <c r="E12" i="9"/>
  <c r="E41" i="9" s="1"/>
  <c r="E33" i="9"/>
  <c r="F12" i="9"/>
  <c r="F33" i="9"/>
  <c r="G12" i="9"/>
  <c r="G33" i="9"/>
  <c r="H12" i="9"/>
  <c r="H31" i="9" s="1"/>
  <c r="H33" i="9"/>
  <c r="I12" i="9"/>
  <c r="I41" i="9" s="1"/>
  <c r="I33" i="9"/>
  <c r="J12" i="9"/>
  <c r="J41" i="9" s="1"/>
  <c r="J33" i="9"/>
  <c r="K12" i="9"/>
  <c r="K31" i="9" s="1"/>
  <c r="K33" i="9"/>
  <c r="L12" i="9"/>
  <c r="L31" i="9" s="1"/>
  <c r="L33" i="9"/>
  <c r="M12" i="9"/>
  <c r="M31" i="9" s="1"/>
  <c r="M33" i="9"/>
  <c r="N12" i="9"/>
  <c r="N33" i="9"/>
  <c r="O12" i="9"/>
  <c r="O33" i="9"/>
  <c r="P12" i="9"/>
  <c r="P31" i="9" s="1"/>
  <c r="P33" i="9"/>
  <c r="Q12" i="9"/>
  <c r="Q31" i="9" s="1"/>
  <c r="Q33" i="9"/>
  <c r="R12" i="9"/>
  <c r="R33" i="9"/>
  <c r="S12" i="9"/>
  <c r="S31" i="9" s="1"/>
  <c r="S33" i="9"/>
  <c r="T12" i="9"/>
  <c r="T41" i="9" s="1"/>
  <c r="T33" i="9"/>
  <c r="U12" i="9"/>
  <c r="U41" i="9" s="1"/>
  <c r="U33" i="9"/>
  <c r="V12" i="9"/>
  <c r="V33" i="9"/>
  <c r="W12" i="9"/>
  <c r="W33" i="9"/>
  <c r="X12" i="9"/>
  <c r="X31" i="9" s="1"/>
  <c r="X33" i="9"/>
  <c r="Y12" i="9"/>
  <c r="Y31" i="9" s="1"/>
  <c r="Y33" i="9"/>
  <c r="Z12" i="9"/>
  <c r="Z41" i="9" s="1"/>
  <c r="Z33" i="9"/>
  <c r="AA12" i="9"/>
  <c r="AA31" i="9" s="1"/>
  <c r="AA33" i="9"/>
  <c r="AB12" i="9"/>
  <c r="AB31" i="9" s="1"/>
  <c r="AB33" i="9"/>
  <c r="AC12" i="9"/>
  <c r="AC31" i="9" s="1"/>
  <c r="AC33" i="9"/>
  <c r="AD12" i="9"/>
  <c r="AD33" i="9"/>
  <c r="AE12" i="9"/>
  <c r="AE33" i="9"/>
  <c r="AF12" i="9"/>
  <c r="AF31" i="9" s="1"/>
  <c r="AF33" i="9"/>
  <c r="AG12" i="9"/>
  <c r="AG31" i="9" s="1"/>
  <c r="AG33" i="9"/>
  <c r="AH12" i="9"/>
  <c r="AH33" i="9"/>
  <c r="AI12" i="9"/>
  <c r="AI31" i="9" s="1"/>
  <c r="AI33" i="9"/>
  <c r="AJ12" i="9"/>
  <c r="AJ31" i="9" s="1"/>
  <c r="AJ33" i="9"/>
  <c r="AK12" i="9"/>
  <c r="AK31" i="9" s="1"/>
  <c r="AK33" i="9"/>
  <c r="AL12" i="9"/>
  <c r="AL33" i="9"/>
  <c r="AM12" i="9"/>
  <c r="AM33" i="9"/>
  <c r="AN12" i="9"/>
  <c r="AN31" i="9" s="1"/>
  <c r="AN33" i="9"/>
  <c r="AO12" i="9"/>
  <c r="AO41" i="9" s="1"/>
  <c r="AO33" i="9"/>
  <c r="AP12" i="9"/>
  <c r="AP41" i="9" s="1"/>
  <c r="AP33" i="9"/>
  <c r="AQ12" i="9"/>
  <c r="AQ31" i="9" s="1"/>
  <c r="AQ33" i="9"/>
  <c r="AR12" i="9"/>
  <c r="AR31" i="9" s="1"/>
  <c r="AR33" i="9"/>
  <c r="AT12" i="9"/>
  <c r="AT31" i="9" s="1"/>
  <c r="AT33" i="9"/>
  <c r="AU12" i="9"/>
  <c r="AU31" i="9" s="1"/>
  <c r="AU33" i="9"/>
  <c r="AV12" i="9"/>
  <c r="AV41" i="9" s="1"/>
  <c r="AV33" i="9"/>
  <c r="AW12" i="9"/>
  <c r="AW33" i="9"/>
  <c r="AX12" i="9"/>
  <c r="AX31" i="9" s="1"/>
  <c r="AX33" i="9"/>
  <c r="AY12" i="9"/>
  <c r="AY31" i="9" s="1"/>
  <c r="AY33" i="9"/>
  <c r="AZ12" i="9"/>
  <c r="AZ31" i="9" s="1"/>
  <c r="AZ33" i="9"/>
  <c r="BA12" i="9"/>
  <c r="BA33" i="9"/>
  <c r="BB12" i="9"/>
  <c r="BB31" i="9" s="1"/>
  <c r="BB33" i="9"/>
  <c r="BC12" i="9"/>
  <c r="BC31" i="9" s="1"/>
  <c r="BC33" i="9"/>
  <c r="BD12" i="9"/>
  <c r="BD41" i="9" s="1"/>
  <c r="BD33" i="9"/>
  <c r="BE12" i="9"/>
  <c r="BE41" i="9" s="1"/>
  <c r="BE33" i="9"/>
  <c r="BF12" i="9"/>
  <c r="BF31" i="9" s="1"/>
  <c r="BF33" i="9"/>
  <c r="BG12" i="9"/>
  <c r="BG31" i="9" s="1"/>
  <c r="BG33" i="9"/>
  <c r="BI12" i="9"/>
  <c r="BI31" i="9" s="1"/>
  <c r="BI33" i="9"/>
  <c r="BJ12" i="9"/>
  <c r="BJ41" i="9" s="1"/>
  <c r="BJ33" i="9"/>
  <c r="BK12" i="9"/>
  <c r="BK33" i="9"/>
  <c r="BL12" i="9"/>
  <c r="BL31" i="9" s="1"/>
  <c r="BL33" i="9"/>
  <c r="BM12" i="9"/>
  <c r="BM31" i="9" s="1"/>
  <c r="BM33" i="9"/>
  <c r="BN12" i="9"/>
  <c r="BN31" i="9" s="1"/>
  <c r="BN33" i="9"/>
  <c r="BO12" i="9"/>
  <c r="BO33" i="9"/>
  <c r="BP12" i="9"/>
  <c r="BP31" i="9" s="1"/>
  <c r="BP33" i="9"/>
  <c r="BQ12" i="9"/>
  <c r="BQ41" i="9" s="1"/>
  <c r="BQ33" i="9"/>
  <c r="BR12" i="9"/>
  <c r="BR41" i="9" s="1"/>
  <c r="BR33" i="9"/>
  <c r="BS12" i="9"/>
  <c r="BS41" i="9" s="1"/>
  <c r="BS33" i="9"/>
  <c r="BT12" i="9"/>
  <c r="BT31" i="9" s="1"/>
  <c r="BT33" i="9"/>
  <c r="BU12" i="9"/>
  <c r="BU31" i="9" s="1"/>
  <c r="BU33" i="9"/>
  <c r="BV12" i="9"/>
  <c r="BV31" i="9" s="1"/>
  <c r="BV33" i="9"/>
  <c r="BW12" i="9"/>
  <c r="BW33" i="9"/>
  <c r="BX12" i="9"/>
  <c r="BX33" i="9"/>
  <c r="BY12" i="9"/>
  <c r="BY41" i="9" s="1"/>
  <c r="BY33" i="9"/>
  <c r="BZ12" i="9"/>
  <c r="BZ41" i="9" s="1"/>
  <c r="BZ33" i="9"/>
  <c r="C15" i="9"/>
  <c r="C16" i="17" s="1"/>
  <c r="D17" i="1"/>
  <c r="E17" i="1"/>
  <c r="E19" i="1" s="1"/>
  <c r="F17" i="1"/>
  <c r="F19" i="1" s="1"/>
  <c r="G17" i="1"/>
  <c r="G19" i="1" s="1"/>
  <c r="H17" i="1"/>
  <c r="I17" i="1"/>
  <c r="I19" i="1" s="1"/>
  <c r="J17" i="1"/>
  <c r="J19" i="1" s="1"/>
  <c r="K17" i="1"/>
  <c r="K19" i="1" s="1"/>
  <c r="L17" i="1"/>
  <c r="L19" i="1" s="1"/>
  <c r="M17" i="1"/>
  <c r="M19" i="1" s="1"/>
  <c r="N17" i="1"/>
  <c r="N19" i="1" s="1"/>
  <c r="O17" i="1"/>
  <c r="O19" i="1" s="1"/>
  <c r="P17" i="1"/>
  <c r="P19" i="1" s="1"/>
  <c r="Q17" i="1"/>
  <c r="Q19" i="1" s="1"/>
  <c r="R17" i="1"/>
  <c r="R19" i="1" s="1"/>
  <c r="S17" i="1"/>
  <c r="S19" i="1" s="1"/>
  <c r="T17" i="1"/>
  <c r="T19" i="1" s="1"/>
  <c r="U17" i="1"/>
  <c r="U19" i="1" s="1"/>
  <c r="V17" i="1"/>
  <c r="V19" i="1" s="1"/>
  <c r="W17" i="1"/>
  <c r="W19" i="1" s="1"/>
  <c r="X17" i="1"/>
  <c r="Y17" i="1"/>
  <c r="Y19" i="1" s="1"/>
  <c r="Z17" i="1"/>
  <c r="Z19" i="1" s="1"/>
  <c r="AA17" i="1"/>
  <c r="AA19" i="1" s="1"/>
  <c r="AB17" i="1"/>
  <c r="AB19" i="1" s="1"/>
  <c r="AC17" i="1"/>
  <c r="AC19" i="1" s="1"/>
  <c r="AD17" i="1"/>
  <c r="AD19" i="1" s="1"/>
  <c r="AE17" i="1"/>
  <c r="AE19" i="1" s="1"/>
  <c r="AF17" i="1"/>
  <c r="AF19" i="1" s="1"/>
  <c r="AG17" i="1"/>
  <c r="AG19" i="1" s="1"/>
  <c r="AH17" i="1"/>
  <c r="AH19" i="1" s="1"/>
  <c r="AI17" i="1"/>
  <c r="AI19" i="1" s="1"/>
  <c r="AJ17" i="1"/>
  <c r="AJ19" i="1" s="1"/>
  <c r="AK17" i="1"/>
  <c r="AK19" i="1" s="1"/>
  <c r="AL17" i="1"/>
  <c r="AL19" i="1" s="1"/>
  <c r="AM17" i="1"/>
  <c r="AM19" i="1" s="1"/>
  <c r="AN17" i="1"/>
  <c r="AO17" i="1"/>
  <c r="AO19" i="1" s="1"/>
  <c r="AP17" i="1"/>
  <c r="AP19" i="1" s="1"/>
  <c r="AQ17" i="1"/>
  <c r="AQ19" i="1" s="1"/>
  <c r="AR17" i="1"/>
  <c r="AR19" i="1" s="1"/>
  <c r="AS17" i="1"/>
  <c r="AS19" i="1" s="1"/>
  <c r="AT17" i="1"/>
  <c r="AT19" i="1" s="1"/>
  <c r="AU17" i="1"/>
  <c r="AU19" i="1" s="1"/>
  <c r="AV17" i="1"/>
  <c r="AV19" i="1" s="1"/>
  <c r="AW17" i="1"/>
  <c r="AW19" i="1" s="1"/>
  <c r="AX17" i="1"/>
  <c r="AX19" i="1" s="1"/>
  <c r="AY17" i="1"/>
  <c r="AY19" i="1" s="1"/>
  <c r="AZ17" i="1"/>
  <c r="AZ19" i="1" s="1"/>
  <c r="BA17" i="1"/>
  <c r="BA19" i="1" s="1"/>
  <c r="BB17" i="1"/>
  <c r="BB19" i="1" s="1"/>
  <c r="BC17" i="1"/>
  <c r="BC19" i="1" s="1"/>
  <c r="BD17" i="1"/>
  <c r="BE17" i="1"/>
  <c r="BE19" i="1" s="1"/>
  <c r="BF17" i="1"/>
  <c r="BF19" i="1" s="1"/>
  <c r="BG17" i="1"/>
  <c r="BI17" i="1"/>
  <c r="BI19" i="1" s="1"/>
  <c r="BJ17" i="1"/>
  <c r="BJ19" i="1" s="1"/>
  <c r="BK17" i="1"/>
  <c r="BK19" i="1" s="1"/>
  <c r="BL17" i="1"/>
  <c r="BL19" i="1" s="1"/>
  <c r="BM17" i="1"/>
  <c r="BN17" i="1"/>
  <c r="BN19" i="1" s="1"/>
  <c r="BO17" i="1"/>
  <c r="BO19" i="1" s="1"/>
  <c r="BP17" i="1"/>
  <c r="BP19" i="1" s="1"/>
  <c r="BQ17" i="1"/>
  <c r="BR17" i="1"/>
  <c r="BR19" i="1" s="1"/>
  <c r="BS17" i="1"/>
  <c r="BS19" i="1" s="1"/>
  <c r="BT17" i="1"/>
  <c r="BT19" i="1" s="1"/>
  <c r="BU17" i="1"/>
  <c r="BV17" i="1"/>
  <c r="BV19" i="1" s="1"/>
  <c r="BW17" i="1"/>
  <c r="BW19" i="1" s="1"/>
  <c r="BX17" i="1"/>
  <c r="BX19" i="1" s="1"/>
  <c r="BY17" i="1"/>
  <c r="BY19" i="1" s="1"/>
  <c r="BZ17" i="1"/>
  <c r="BZ19" i="1" s="1"/>
  <c r="D26" i="1"/>
  <c r="D116" i="1" s="1"/>
  <c r="D32" i="1"/>
  <c r="D117" i="1" s="1"/>
  <c r="D39" i="1"/>
  <c r="D41" i="1" s="1"/>
  <c r="E39" i="1"/>
  <c r="E41" i="1" s="1"/>
  <c r="F39" i="1"/>
  <c r="F41" i="1" s="1"/>
  <c r="G39" i="1"/>
  <c r="H39" i="1"/>
  <c r="H41" i="1" s="1"/>
  <c r="I39" i="1"/>
  <c r="I41" i="1" s="1"/>
  <c r="J39" i="1"/>
  <c r="J41" i="1" s="1"/>
  <c r="K39" i="1"/>
  <c r="K41" i="1" s="1"/>
  <c r="L39" i="1"/>
  <c r="L41" i="1" s="1"/>
  <c r="M39" i="1"/>
  <c r="M41" i="1" s="1"/>
  <c r="N39" i="1"/>
  <c r="O39" i="1"/>
  <c r="O41" i="1" s="1"/>
  <c r="P39" i="1"/>
  <c r="P41" i="1" s="1"/>
  <c r="Q39" i="1"/>
  <c r="Q41" i="1" s="1"/>
  <c r="R39" i="1"/>
  <c r="R41" i="1" s="1"/>
  <c r="S39" i="1"/>
  <c r="S41" i="1" s="1"/>
  <c r="T39" i="1"/>
  <c r="T41" i="1" s="1"/>
  <c r="U39" i="1"/>
  <c r="U41" i="1" s="1"/>
  <c r="V39" i="1"/>
  <c r="V41" i="1" s="1"/>
  <c r="W39" i="1"/>
  <c r="W41" i="1" s="1"/>
  <c r="X39" i="1"/>
  <c r="X41" i="1" s="1"/>
  <c r="Y39" i="1"/>
  <c r="Y41" i="1" s="1"/>
  <c r="Z39" i="1"/>
  <c r="Z41" i="1" s="1"/>
  <c r="AA39" i="1"/>
  <c r="AA41" i="1" s="1"/>
  <c r="AB39" i="1"/>
  <c r="AB41" i="1" s="1"/>
  <c r="AC39" i="1"/>
  <c r="AC41" i="1" s="1"/>
  <c r="AD39" i="1"/>
  <c r="AD41" i="1" s="1"/>
  <c r="AE39" i="1"/>
  <c r="AE41" i="1" s="1"/>
  <c r="AF39" i="1"/>
  <c r="AF41" i="1" s="1"/>
  <c r="AG39" i="1"/>
  <c r="AG41" i="1" s="1"/>
  <c r="AH39" i="1"/>
  <c r="AH41" i="1" s="1"/>
  <c r="AI39" i="1"/>
  <c r="AI41" i="1" s="1"/>
  <c r="AJ39" i="1"/>
  <c r="AJ41" i="1" s="1"/>
  <c r="AK39" i="1"/>
  <c r="AK41" i="1" s="1"/>
  <c r="AL39" i="1"/>
  <c r="AL41" i="1" s="1"/>
  <c r="AM39" i="1"/>
  <c r="AM41" i="1" s="1"/>
  <c r="AN39" i="1"/>
  <c r="AN41" i="1" s="1"/>
  <c r="AO39" i="1"/>
  <c r="AO41" i="1" s="1"/>
  <c r="AP39" i="1"/>
  <c r="AP41" i="1" s="1"/>
  <c r="AQ39" i="1"/>
  <c r="AQ41" i="1" s="1"/>
  <c r="AR39" i="1"/>
  <c r="AR41" i="1" s="1"/>
  <c r="AS39" i="1"/>
  <c r="AS41" i="1" s="1"/>
  <c r="AT39" i="1"/>
  <c r="AT41" i="1" s="1"/>
  <c r="AU39" i="1"/>
  <c r="AU41" i="1" s="1"/>
  <c r="AV39" i="1"/>
  <c r="AV41" i="1" s="1"/>
  <c r="AW39" i="1"/>
  <c r="AW41" i="1" s="1"/>
  <c r="AX39" i="1"/>
  <c r="AX41" i="1" s="1"/>
  <c r="AY39" i="1"/>
  <c r="AY41" i="1" s="1"/>
  <c r="AZ39" i="1"/>
  <c r="AZ41" i="1" s="1"/>
  <c r="BA39" i="1"/>
  <c r="BA41" i="1" s="1"/>
  <c r="BB39" i="1"/>
  <c r="BB41" i="1" s="1"/>
  <c r="BC39" i="1"/>
  <c r="BC41" i="1" s="1"/>
  <c r="BD39" i="1"/>
  <c r="BD41" i="1" s="1"/>
  <c r="BE39" i="1"/>
  <c r="BE41" i="1" s="1"/>
  <c r="BF39" i="1"/>
  <c r="BF41" i="1" s="1"/>
  <c r="BG39" i="1"/>
  <c r="BG41" i="1" s="1"/>
  <c r="BI39" i="1"/>
  <c r="BI41" i="1" s="1"/>
  <c r="BJ39" i="1"/>
  <c r="BJ41" i="1" s="1"/>
  <c r="BK39" i="1"/>
  <c r="BK41" i="1" s="1"/>
  <c r="BL39" i="1"/>
  <c r="BL41" i="1" s="1"/>
  <c r="BM39" i="1"/>
  <c r="BM41" i="1" s="1"/>
  <c r="BN39" i="1"/>
  <c r="BN41" i="1" s="1"/>
  <c r="BO39" i="1"/>
  <c r="BO41" i="1" s="1"/>
  <c r="BP39" i="1"/>
  <c r="BQ39" i="1"/>
  <c r="BQ41" i="1" s="1"/>
  <c r="BR39" i="1"/>
  <c r="BR41" i="1" s="1"/>
  <c r="BS39" i="1"/>
  <c r="BS41" i="1" s="1"/>
  <c r="BT39" i="1"/>
  <c r="BT41" i="1" s="1"/>
  <c r="BU39" i="1"/>
  <c r="BU41" i="1" s="1"/>
  <c r="BV39" i="1"/>
  <c r="BV41" i="1" s="1"/>
  <c r="BW39" i="1"/>
  <c r="BW41" i="1" s="1"/>
  <c r="BX39" i="1"/>
  <c r="BX41" i="1" s="1"/>
  <c r="BY39" i="1"/>
  <c r="BY41" i="1" s="1"/>
  <c r="BZ39" i="1"/>
  <c r="BZ41" i="1" s="1"/>
  <c r="N41" i="1"/>
  <c r="BP41" i="1"/>
  <c r="D48" i="1"/>
  <c r="D119" i="1" s="1"/>
  <c r="D53" i="1"/>
  <c r="D120" i="1" s="1"/>
  <c r="D58" i="1"/>
  <c r="D121" i="1" s="1"/>
  <c r="D68" i="1"/>
  <c r="D70" i="1" s="1"/>
  <c r="E68" i="1"/>
  <c r="E70" i="1" s="1"/>
  <c r="F68" i="1"/>
  <c r="F70" i="1" s="1"/>
  <c r="G68" i="1"/>
  <c r="G70" i="1" s="1"/>
  <c r="H68" i="1"/>
  <c r="H70" i="1" s="1"/>
  <c r="I68" i="1"/>
  <c r="I70" i="1" s="1"/>
  <c r="J68" i="1"/>
  <c r="J70" i="1" s="1"/>
  <c r="K68" i="1"/>
  <c r="K70" i="1" s="1"/>
  <c r="L68" i="1"/>
  <c r="L70" i="1" s="1"/>
  <c r="M68" i="1"/>
  <c r="M70" i="1" s="1"/>
  <c r="N68" i="1"/>
  <c r="N70" i="1" s="1"/>
  <c r="O68" i="1"/>
  <c r="O70" i="1" s="1"/>
  <c r="P68" i="1"/>
  <c r="P70" i="1" s="1"/>
  <c r="Q68" i="1"/>
  <c r="Q70" i="1" s="1"/>
  <c r="R68" i="1"/>
  <c r="R70" i="1"/>
  <c r="S68" i="1"/>
  <c r="S70" i="1" s="1"/>
  <c r="T68" i="1"/>
  <c r="T70" i="1" s="1"/>
  <c r="U68" i="1"/>
  <c r="U70" i="1" s="1"/>
  <c r="V68" i="1"/>
  <c r="V70" i="1" s="1"/>
  <c r="W68" i="1"/>
  <c r="W70" i="1" s="1"/>
  <c r="X68" i="1"/>
  <c r="X70" i="1" s="1"/>
  <c r="Y68" i="1"/>
  <c r="Y70" i="1" s="1"/>
  <c r="Z68" i="1"/>
  <c r="Z70" i="1" s="1"/>
  <c r="AA68" i="1"/>
  <c r="AA70" i="1" s="1"/>
  <c r="AB68" i="1"/>
  <c r="AB70" i="1" s="1"/>
  <c r="AC68" i="1"/>
  <c r="AC70" i="1"/>
  <c r="AD68" i="1"/>
  <c r="AD70" i="1" s="1"/>
  <c r="AE68" i="1"/>
  <c r="AE70" i="1" s="1"/>
  <c r="AF68" i="1"/>
  <c r="AF70" i="1" s="1"/>
  <c r="AG68" i="1"/>
  <c r="AG70" i="1" s="1"/>
  <c r="AH68" i="1"/>
  <c r="AH70" i="1" s="1"/>
  <c r="AI68" i="1"/>
  <c r="AI70" i="1" s="1"/>
  <c r="AJ68" i="1"/>
  <c r="AJ70" i="1" s="1"/>
  <c r="AK68" i="1"/>
  <c r="AK70" i="1"/>
  <c r="AL68" i="1"/>
  <c r="AL70" i="1" s="1"/>
  <c r="AM68" i="1"/>
  <c r="AM70" i="1" s="1"/>
  <c r="AN68" i="1"/>
  <c r="AN70" i="1" s="1"/>
  <c r="AO68" i="1"/>
  <c r="AO70" i="1" s="1"/>
  <c r="AP68" i="1"/>
  <c r="AP70" i="1" s="1"/>
  <c r="AQ68" i="1"/>
  <c r="AQ70" i="1" s="1"/>
  <c r="AR68" i="1"/>
  <c r="AR70" i="1" s="1"/>
  <c r="AS68" i="1"/>
  <c r="AS70" i="1" s="1"/>
  <c r="AT68" i="1"/>
  <c r="AT70" i="1" s="1"/>
  <c r="AU68" i="1"/>
  <c r="AU70" i="1" s="1"/>
  <c r="AV68" i="1"/>
  <c r="AV70" i="1" s="1"/>
  <c r="AW68" i="1"/>
  <c r="AW70" i="1" s="1"/>
  <c r="AX68" i="1"/>
  <c r="AX70" i="1"/>
  <c r="AY68" i="1"/>
  <c r="AY70" i="1" s="1"/>
  <c r="AZ68" i="1"/>
  <c r="AZ70" i="1" s="1"/>
  <c r="BA68" i="1"/>
  <c r="BA70" i="1" s="1"/>
  <c r="BB68" i="1"/>
  <c r="BB70" i="1" s="1"/>
  <c r="BC68" i="1"/>
  <c r="BC70" i="1" s="1"/>
  <c r="BD68" i="1"/>
  <c r="BD70" i="1" s="1"/>
  <c r="BE68" i="1"/>
  <c r="BE70" i="1" s="1"/>
  <c r="BF68" i="1"/>
  <c r="BF70" i="1"/>
  <c r="BG68" i="1"/>
  <c r="BG70" i="1" s="1"/>
  <c r="BI68" i="1"/>
  <c r="BI70" i="1" s="1"/>
  <c r="BJ68" i="1"/>
  <c r="BJ70" i="1" s="1"/>
  <c r="BK68" i="1"/>
  <c r="BK70" i="1" s="1"/>
  <c r="BL68" i="1"/>
  <c r="BL70" i="1" s="1"/>
  <c r="BM68" i="1"/>
  <c r="BM70" i="1" s="1"/>
  <c r="BN68" i="1"/>
  <c r="BN70" i="1" s="1"/>
  <c r="BO68" i="1"/>
  <c r="BO70" i="1" s="1"/>
  <c r="BP68" i="1"/>
  <c r="BP70" i="1" s="1"/>
  <c r="BQ68" i="1"/>
  <c r="BQ70" i="1" s="1"/>
  <c r="BR68" i="1"/>
  <c r="BR70" i="1" s="1"/>
  <c r="BS68" i="1"/>
  <c r="BS70" i="1" s="1"/>
  <c r="BT68" i="1"/>
  <c r="BT70" i="1"/>
  <c r="BU68" i="1"/>
  <c r="BU70" i="1" s="1"/>
  <c r="BV68" i="1"/>
  <c r="BV70" i="1" s="1"/>
  <c r="BW68" i="1"/>
  <c r="BW70" i="1"/>
  <c r="BX68" i="1"/>
  <c r="BX70" i="1" s="1"/>
  <c r="BY68" i="1"/>
  <c r="BY70" i="1" s="1"/>
  <c r="BZ68" i="1"/>
  <c r="BZ70" i="1" s="1"/>
  <c r="D77" i="1"/>
  <c r="D130" i="1" s="1"/>
  <c r="D83" i="1"/>
  <c r="D131" i="1" s="1"/>
  <c r="D90" i="1"/>
  <c r="D92" i="1" s="1"/>
  <c r="E90" i="1"/>
  <c r="E92" i="1" s="1"/>
  <c r="F90" i="1"/>
  <c r="F92" i="1" s="1"/>
  <c r="G90" i="1"/>
  <c r="G92" i="1" s="1"/>
  <c r="H90" i="1"/>
  <c r="H92" i="1" s="1"/>
  <c r="I90" i="1"/>
  <c r="I92" i="1" s="1"/>
  <c r="J90" i="1"/>
  <c r="J92" i="1" s="1"/>
  <c r="K90" i="1"/>
  <c r="K92" i="1" s="1"/>
  <c r="L90" i="1"/>
  <c r="L92" i="1" s="1"/>
  <c r="M90" i="1"/>
  <c r="M92" i="1" s="1"/>
  <c r="N90" i="1"/>
  <c r="N92" i="1" s="1"/>
  <c r="O90" i="1"/>
  <c r="O92" i="1" s="1"/>
  <c r="P90" i="1"/>
  <c r="P92" i="1" s="1"/>
  <c r="Q90" i="1"/>
  <c r="Q92" i="1" s="1"/>
  <c r="R90" i="1"/>
  <c r="R92" i="1" s="1"/>
  <c r="S90" i="1"/>
  <c r="S92" i="1" s="1"/>
  <c r="T90" i="1"/>
  <c r="T92" i="1" s="1"/>
  <c r="U90" i="1"/>
  <c r="U92" i="1" s="1"/>
  <c r="V90" i="1"/>
  <c r="V92" i="1" s="1"/>
  <c r="W90" i="1"/>
  <c r="W92" i="1" s="1"/>
  <c r="X90" i="1"/>
  <c r="X92" i="1" s="1"/>
  <c r="Y90" i="1"/>
  <c r="Y92" i="1" s="1"/>
  <c r="Z90" i="1"/>
  <c r="Z92" i="1" s="1"/>
  <c r="AA90" i="1"/>
  <c r="AA92" i="1" s="1"/>
  <c r="AB90" i="1"/>
  <c r="AB92" i="1" s="1"/>
  <c r="AC90" i="1"/>
  <c r="AC92" i="1" s="1"/>
  <c r="AD90" i="1"/>
  <c r="AD92" i="1" s="1"/>
  <c r="AE90" i="1"/>
  <c r="AE92" i="1" s="1"/>
  <c r="AF90" i="1"/>
  <c r="AF92" i="1" s="1"/>
  <c r="AG90" i="1"/>
  <c r="AG92" i="1" s="1"/>
  <c r="AH90" i="1"/>
  <c r="AH92" i="1" s="1"/>
  <c r="AI90" i="1"/>
  <c r="AI92" i="1" s="1"/>
  <c r="AJ90" i="1"/>
  <c r="AJ92" i="1" s="1"/>
  <c r="AK90" i="1"/>
  <c r="AK92" i="1" s="1"/>
  <c r="AL90" i="1"/>
  <c r="AL92" i="1" s="1"/>
  <c r="AM90" i="1"/>
  <c r="AM92" i="1" s="1"/>
  <c r="AN90" i="1"/>
  <c r="AN92" i="1" s="1"/>
  <c r="AO90" i="1"/>
  <c r="AO92" i="1" s="1"/>
  <c r="AP90" i="1"/>
  <c r="AP92" i="1" s="1"/>
  <c r="AQ90" i="1"/>
  <c r="AQ92" i="1" s="1"/>
  <c r="AR90" i="1"/>
  <c r="AR92" i="1" s="1"/>
  <c r="AS90" i="1"/>
  <c r="AS92" i="1" s="1"/>
  <c r="AT90" i="1"/>
  <c r="AT92" i="1" s="1"/>
  <c r="AU90" i="1"/>
  <c r="AU92" i="1" s="1"/>
  <c r="AV90" i="1"/>
  <c r="AV92" i="1" s="1"/>
  <c r="AW90" i="1"/>
  <c r="AW92" i="1" s="1"/>
  <c r="AX90" i="1"/>
  <c r="AX92" i="1" s="1"/>
  <c r="AY90" i="1"/>
  <c r="AY92" i="1" s="1"/>
  <c r="AZ90" i="1"/>
  <c r="AZ92" i="1" s="1"/>
  <c r="BA90" i="1"/>
  <c r="BA92" i="1" s="1"/>
  <c r="BB90" i="1"/>
  <c r="BB92" i="1" s="1"/>
  <c r="BC90" i="1"/>
  <c r="BC92" i="1" s="1"/>
  <c r="BD90" i="1"/>
  <c r="BD92" i="1" s="1"/>
  <c r="BE90" i="1"/>
  <c r="BE92" i="1" s="1"/>
  <c r="BF90" i="1"/>
  <c r="BF92" i="1" s="1"/>
  <c r="BG90" i="1"/>
  <c r="BG92" i="1" s="1"/>
  <c r="BI90" i="1"/>
  <c r="BI92" i="1" s="1"/>
  <c r="BJ90" i="1"/>
  <c r="BJ92" i="1" s="1"/>
  <c r="BK90" i="1"/>
  <c r="BK92" i="1" s="1"/>
  <c r="BL90" i="1"/>
  <c r="BL92" i="1" s="1"/>
  <c r="BM90" i="1"/>
  <c r="BM92" i="1" s="1"/>
  <c r="BN90" i="1"/>
  <c r="BN92" i="1" s="1"/>
  <c r="BO90" i="1"/>
  <c r="BO92" i="1" s="1"/>
  <c r="BP90" i="1"/>
  <c r="BP92" i="1" s="1"/>
  <c r="BQ90" i="1"/>
  <c r="BQ92" i="1" s="1"/>
  <c r="BR90" i="1"/>
  <c r="BR92" i="1" s="1"/>
  <c r="BS90" i="1"/>
  <c r="BS92" i="1" s="1"/>
  <c r="BT90" i="1"/>
  <c r="BT92" i="1" s="1"/>
  <c r="BU90" i="1"/>
  <c r="BU92" i="1" s="1"/>
  <c r="BV90" i="1"/>
  <c r="BV92" i="1" s="1"/>
  <c r="BW90" i="1"/>
  <c r="BW92" i="1" s="1"/>
  <c r="BX90" i="1"/>
  <c r="BX92" i="1" s="1"/>
  <c r="BY90" i="1"/>
  <c r="BY92" i="1" s="1"/>
  <c r="BZ90" i="1"/>
  <c r="BZ92" i="1" s="1"/>
  <c r="D99" i="1"/>
  <c r="D133" i="1" s="1"/>
  <c r="D104" i="1"/>
  <c r="D134" i="1" s="1"/>
  <c r="D109" i="1"/>
  <c r="D135" i="1" s="1"/>
  <c r="E26" i="1"/>
  <c r="E116" i="1" s="1"/>
  <c r="F26" i="1"/>
  <c r="F116" i="1" s="1"/>
  <c r="G26" i="1"/>
  <c r="G116" i="1" s="1"/>
  <c r="H26" i="1"/>
  <c r="H116" i="1" s="1"/>
  <c r="I26" i="1"/>
  <c r="I116" i="1" s="1"/>
  <c r="J26" i="1"/>
  <c r="K26" i="1"/>
  <c r="K116" i="1" s="1"/>
  <c r="L26" i="1"/>
  <c r="L116" i="1" s="1"/>
  <c r="M26" i="1"/>
  <c r="M116" i="1" s="1"/>
  <c r="N26" i="1"/>
  <c r="N116" i="1" s="1"/>
  <c r="O26" i="1"/>
  <c r="O116" i="1" s="1"/>
  <c r="P26" i="1"/>
  <c r="P116" i="1" s="1"/>
  <c r="Q26" i="1"/>
  <c r="Q116" i="1" s="1"/>
  <c r="R26" i="1"/>
  <c r="R116" i="1" s="1"/>
  <c r="S26" i="1"/>
  <c r="S116" i="1" s="1"/>
  <c r="T26" i="1"/>
  <c r="T116" i="1" s="1"/>
  <c r="U26" i="1"/>
  <c r="U116" i="1" s="1"/>
  <c r="V26" i="1"/>
  <c r="V116" i="1" s="1"/>
  <c r="W26" i="1"/>
  <c r="W116" i="1" s="1"/>
  <c r="X26" i="1"/>
  <c r="X116" i="1" s="1"/>
  <c r="Y26" i="1"/>
  <c r="Y116" i="1" s="1"/>
  <c r="Z26" i="1"/>
  <c r="Z116" i="1" s="1"/>
  <c r="AA26" i="1"/>
  <c r="AA116" i="1" s="1"/>
  <c r="AB26" i="1"/>
  <c r="AB116" i="1" s="1"/>
  <c r="AC26" i="1"/>
  <c r="AC116" i="1" s="1"/>
  <c r="AD26" i="1"/>
  <c r="AD116" i="1" s="1"/>
  <c r="AE26" i="1"/>
  <c r="AE116" i="1" s="1"/>
  <c r="AF26" i="1"/>
  <c r="AF116" i="1" s="1"/>
  <c r="AG26" i="1"/>
  <c r="AG116" i="1" s="1"/>
  <c r="AH26" i="1"/>
  <c r="AH116" i="1" s="1"/>
  <c r="AI26" i="1"/>
  <c r="AI116" i="1" s="1"/>
  <c r="AJ26" i="1"/>
  <c r="AJ116" i="1" s="1"/>
  <c r="AK26" i="1"/>
  <c r="AK116" i="1" s="1"/>
  <c r="AL26" i="1"/>
  <c r="AL116" i="1" s="1"/>
  <c r="AM26" i="1"/>
  <c r="AM116" i="1" s="1"/>
  <c r="AN26" i="1"/>
  <c r="AN116" i="1" s="1"/>
  <c r="AO26" i="1"/>
  <c r="AO116" i="1" s="1"/>
  <c r="AP26" i="1"/>
  <c r="AP116" i="1" s="1"/>
  <c r="AQ26" i="1"/>
  <c r="AQ116" i="1" s="1"/>
  <c r="AR26" i="1"/>
  <c r="AR116" i="1" s="1"/>
  <c r="AS26" i="1"/>
  <c r="AS116" i="1" s="1"/>
  <c r="AT26" i="1"/>
  <c r="AT116" i="1" s="1"/>
  <c r="AU26" i="1"/>
  <c r="AV26" i="1"/>
  <c r="AV116" i="1" s="1"/>
  <c r="AW26" i="1"/>
  <c r="AW116" i="1" s="1"/>
  <c r="AX26" i="1"/>
  <c r="AX116" i="1" s="1"/>
  <c r="AY26" i="1"/>
  <c r="AY116" i="1" s="1"/>
  <c r="AZ26" i="1"/>
  <c r="AZ116" i="1" s="1"/>
  <c r="BA26" i="1"/>
  <c r="BB26" i="1"/>
  <c r="BB116" i="1" s="1"/>
  <c r="BC26" i="1"/>
  <c r="BC116" i="1" s="1"/>
  <c r="BD26" i="1"/>
  <c r="BD116" i="1" s="1"/>
  <c r="BE26" i="1"/>
  <c r="BE116" i="1" s="1"/>
  <c r="BF26" i="1"/>
  <c r="BF116" i="1" s="1"/>
  <c r="BG26" i="1"/>
  <c r="BG116" i="1" s="1"/>
  <c r="BI26" i="1"/>
  <c r="BI116" i="1" s="1"/>
  <c r="BJ26" i="1"/>
  <c r="BJ116" i="1" s="1"/>
  <c r="BK26" i="1"/>
  <c r="BK116" i="1" s="1"/>
  <c r="BL26" i="1"/>
  <c r="BM26" i="1"/>
  <c r="BM116" i="1" s="1"/>
  <c r="BN26" i="1"/>
  <c r="BN116" i="1" s="1"/>
  <c r="BO26" i="1"/>
  <c r="BO116" i="1" s="1"/>
  <c r="BP26" i="1"/>
  <c r="BP116" i="1" s="1"/>
  <c r="BQ26" i="1"/>
  <c r="BQ116" i="1" s="1"/>
  <c r="BR26" i="1"/>
  <c r="BR116" i="1" s="1"/>
  <c r="BS26" i="1"/>
  <c r="BS116" i="1" s="1"/>
  <c r="BT26" i="1"/>
  <c r="BU26" i="1"/>
  <c r="BU116" i="1" s="1"/>
  <c r="BV26" i="1"/>
  <c r="BV116" i="1" s="1"/>
  <c r="BW26" i="1"/>
  <c r="BW116" i="1" s="1"/>
  <c r="BX26" i="1"/>
  <c r="BX116" i="1" s="1"/>
  <c r="BY26" i="1"/>
  <c r="BY116" i="1" s="1"/>
  <c r="BZ26" i="1"/>
  <c r="BZ116" i="1" s="1"/>
  <c r="E32" i="1"/>
  <c r="E117" i="1" s="1"/>
  <c r="F32" i="1"/>
  <c r="F117" i="1" s="1"/>
  <c r="G32" i="1"/>
  <c r="G117" i="1" s="1"/>
  <c r="H32" i="1"/>
  <c r="I32" i="1"/>
  <c r="I117" i="1" s="1"/>
  <c r="J32" i="1"/>
  <c r="J117" i="1" s="1"/>
  <c r="K32" i="1"/>
  <c r="K117" i="1" s="1"/>
  <c r="L32" i="1"/>
  <c r="L117" i="1" s="1"/>
  <c r="M32" i="1"/>
  <c r="M117" i="1" s="1"/>
  <c r="N32" i="1"/>
  <c r="O32" i="1"/>
  <c r="O117" i="1" s="1"/>
  <c r="P32" i="1"/>
  <c r="P117" i="1" s="1"/>
  <c r="Q32" i="1"/>
  <c r="Q117" i="1" s="1"/>
  <c r="R32" i="1"/>
  <c r="R117" i="1" s="1"/>
  <c r="S32" i="1"/>
  <c r="S117" i="1" s="1"/>
  <c r="T32" i="1"/>
  <c r="T117" i="1" s="1"/>
  <c r="U32" i="1"/>
  <c r="U117" i="1" s="1"/>
  <c r="V32" i="1"/>
  <c r="V117" i="1" s="1"/>
  <c r="W32" i="1"/>
  <c r="W117" i="1" s="1"/>
  <c r="X32" i="1"/>
  <c r="X117" i="1" s="1"/>
  <c r="Y32" i="1"/>
  <c r="Y117" i="1" s="1"/>
  <c r="Z32" i="1"/>
  <c r="Z117" i="1" s="1"/>
  <c r="AA32" i="1"/>
  <c r="AA117" i="1" s="1"/>
  <c r="AB32" i="1"/>
  <c r="AB117" i="1" s="1"/>
  <c r="AC32" i="1"/>
  <c r="AC117" i="1" s="1"/>
  <c r="AD32" i="1"/>
  <c r="AD117" i="1" s="1"/>
  <c r="AE32" i="1"/>
  <c r="AE117" i="1" s="1"/>
  <c r="AF32" i="1"/>
  <c r="AF117" i="1" s="1"/>
  <c r="AG32" i="1"/>
  <c r="AG117" i="1" s="1"/>
  <c r="AH32" i="1"/>
  <c r="AH117" i="1" s="1"/>
  <c r="AI32" i="1"/>
  <c r="AI117" i="1" s="1"/>
  <c r="AJ32" i="1"/>
  <c r="AJ117" i="1" s="1"/>
  <c r="AK32" i="1"/>
  <c r="AK117" i="1" s="1"/>
  <c r="AL32" i="1"/>
  <c r="AL117" i="1" s="1"/>
  <c r="AM32" i="1"/>
  <c r="AM117" i="1" s="1"/>
  <c r="AN32" i="1"/>
  <c r="AN117" i="1" s="1"/>
  <c r="AO32" i="1"/>
  <c r="AO117" i="1" s="1"/>
  <c r="AP32" i="1"/>
  <c r="AP117" i="1" s="1"/>
  <c r="AQ32" i="1"/>
  <c r="AQ117" i="1" s="1"/>
  <c r="AR32" i="1"/>
  <c r="AR117" i="1" s="1"/>
  <c r="AS32" i="1"/>
  <c r="AS117" i="1" s="1"/>
  <c r="AT32" i="1"/>
  <c r="AT117" i="1" s="1"/>
  <c r="AU32" i="1"/>
  <c r="AU117" i="1" s="1"/>
  <c r="AV32" i="1"/>
  <c r="AV117" i="1" s="1"/>
  <c r="AW32" i="1"/>
  <c r="AW117" i="1" s="1"/>
  <c r="AX32" i="1"/>
  <c r="AX117" i="1" s="1"/>
  <c r="AY32" i="1"/>
  <c r="AY117" i="1" s="1"/>
  <c r="AZ32" i="1"/>
  <c r="AZ117" i="1" s="1"/>
  <c r="BA32" i="1"/>
  <c r="BA117" i="1" s="1"/>
  <c r="BB32" i="1"/>
  <c r="BC32" i="1"/>
  <c r="BC117" i="1" s="1"/>
  <c r="BD32" i="1"/>
  <c r="BD117" i="1" s="1"/>
  <c r="BE32" i="1"/>
  <c r="BE117" i="1" s="1"/>
  <c r="BF32" i="1"/>
  <c r="BF117" i="1" s="1"/>
  <c r="BG32" i="1"/>
  <c r="BI32" i="1"/>
  <c r="BI117" i="1" s="1"/>
  <c r="BJ32" i="1"/>
  <c r="BJ117" i="1" s="1"/>
  <c r="BK32" i="1"/>
  <c r="BK117" i="1" s="1"/>
  <c r="BL32" i="1"/>
  <c r="BM32" i="1"/>
  <c r="BM117" i="1" s="1"/>
  <c r="BN32" i="1"/>
  <c r="BN117" i="1" s="1"/>
  <c r="BO32" i="1"/>
  <c r="BO117" i="1" s="1"/>
  <c r="BP32" i="1"/>
  <c r="BP117" i="1" s="1"/>
  <c r="BQ32" i="1"/>
  <c r="BQ117" i="1" s="1"/>
  <c r="BR32" i="1"/>
  <c r="BR117" i="1" s="1"/>
  <c r="BS32" i="1"/>
  <c r="BS117" i="1" s="1"/>
  <c r="BT32" i="1"/>
  <c r="BT117" i="1" s="1"/>
  <c r="BU32" i="1"/>
  <c r="BU117" i="1" s="1"/>
  <c r="BV32" i="1"/>
  <c r="BV117" i="1" s="1"/>
  <c r="BW32" i="1"/>
  <c r="BW117" i="1" s="1"/>
  <c r="BX32" i="1"/>
  <c r="BY32" i="1"/>
  <c r="BY117" i="1" s="1"/>
  <c r="BZ32" i="1"/>
  <c r="BZ117" i="1" s="1"/>
  <c r="E48" i="1"/>
  <c r="E119" i="1" s="1"/>
  <c r="F48" i="1"/>
  <c r="F119" i="1" s="1"/>
  <c r="G48" i="1"/>
  <c r="G119" i="1" s="1"/>
  <c r="H48" i="1"/>
  <c r="H119" i="1" s="1"/>
  <c r="I48" i="1"/>
  <c r="I119" i="1" s="1"/>
  <c r="J48" i="1"/>
  <c r="J119" i="1" s="1"/>
  <c r="K48" i="1"/>
  <c r="K119" i="1" s="1"/>
  <c r="L48" i="1"/>
  <c r="M48" i="1"/>
  <c r="M119" i="1" s="1"/>
  <c r="N48" i="1"/>
  <c r="N119" i="1" s="1"/>
  <c r="O48" i="1"/>
  <c r="O119" i="1" s="1"/>
  <c r="P48" i="1"/>
  <c r="P119" i="1" s="1"/>
  <c r="Q48" i="1"/>
  <c r="Q119" i="1" s="1"/>
  <c r="R48" i="1"/>
  <c r="R119" i="1" s="1"/>
  <c r="S48" i="1"/>
  <c r="S119" i="1" s="1"/>
  <c r="T48" i="1"/>
  <c r="T119" i="1" s="1"/>
  <c r="U48" i="1"/>
  <c r="U119" i="1" s="1"/>
  <c r="V48" i="1"/>
  <c r="V119" i="1" s="1"/>
  <c r="W48" i="1"/>
  <c r="W119" i="1" s="1"/>
  <c r="X48" i="1"/>
  <c r="X119" i="1" s="1"/>
  <c r="Y48" i="1"/>
  <c r="Y119" i="1" s="1"/>
  <c r="Z48" i="1"/>
  <c r="Z119" i="1" s="1"/>
  <c r="AA48" i="1"/>
  <c r="AA119" i="1" s="1"/>
  <c r="AB48" i="1"/>
  <c r="AC48" i="1"/>
  <c r="AC119" i="1" s="1"/>
  <c r="AD48" i="1"/>
  <c r="AD119" i="1" s="1"/>
  <c r="AE48" i="1"/>
  <c r="AE119" i="1" s="1"/>
  <c r="AF48" i="1"/>
  <c r="AF119" i="1" s="1"/>
  <c r="AG48" i="1"/>
  <c r="AG119" i="1" s="1"/>
  <c r="AH48" i="1"/>
  <c r="AH119" i="1" s="1"/>
  <c r="AI48" i="1"/>
  <c r="AI119" i="1" s="1"/>
  <c r="AJ48" i="1"/>
  <c r="AK48" i="1"/>
  <c r="AK119" i="1" s="1"/>
  <c r="AL48" i="1"/>
  <c r="AL119" i="1" s="1"/>
  <c r="AM48" i="1"/>
  <c r="AM119" i="1" s="1"/>
  <c r="AN48" i="1"/>
  <c r="AN119" i="1" s="1"/>
  <c r="AO48" i="1"/>
  <c r="AO119" i="1" s="1"/>
  <c r="AP48" i="1"/>
  <c r="AP119" i="1" s="1"/>
  <c r="AQ48" i="1"/>
  <c r="AQ119" i="1" s="1"/>
  <c r="AR48" i="1"/>
  <c r="AS48" i="1"/>
  <c r="AS119" i="1" s="1"/>
  <c r="AT48" i="1"/>
  <c r="AT119" i="1" s="1"/>
  <c r="AU48" i="1"/>
  <c r="AU119" i="1" s="1"/>
  <c r="AV48" i="1"/>
  <c r="AV119" i="1" s="1"/>
  <c r="AW48" i="1"/>
  <c r="AW119" i="1" s="1"/>
  <c r="AX48" i="1"/>
  <c r="AX119" i="1" s="1"/>
  <c r="AY48" i="1"/>
  <c r="AY119" i="1" s="1"/>
  <c r="AZ48" i="1"/>
  <c r="BA48" i="1"/>
  <c r="BA119" i="1" s="1"/>
  <c r="BB48" i="1"/>
  <c r="BB119" i="1" s="1"/>
  <c r="BC48" i="1"/>
  <c r="BC119" i="1" s="1"/>
  <c r="BD48" i="1"/>
  <c r="BD119" i="1" s="1"/>
  <c r="BE48" i="1"/>
  <c r="BE119" i="1" s="1"/>
  <c r="BF48" i="1"/>
  <c r="BF119" i="1" s="1"/>
  <c r="BG48" i="1"/>
  <c r="BG119" i="1" s="1"/>
  <c r="BI48" i="1"/>
  <c r="BI119" i="1" s="1"/>
  <c r="BJ48" i="1"/>
  <c r="BJ119" i="1" s="1"/>
  <c r="BK48" i="1"/>
  <c r="BK119" i="1" s="1"/>
  <c r="BL48" i="1"/>
  <c r="BL119" i="1" s="1"/>
  <c r="BM48" i="1"/>
  <c r="BM119" i="1" s="1"/>
  <c r="BN48" i="1"/>
  <c r="BN119" i="1" s="1"/>
  <c r="BO48" i="1"/>
  <c r="BO119" i="1" s="1"/>
  <c r="BP48" i="1"/>
  <c r="BP119" i="1" s="1"/>
  <c r="BQ48" i="1"/>
  <c r="BQ119" i="1" s="1"/>
  <c r="BR48" i="1"/>
  <c r="BS48" i="1"/>
  <c r="BS119" i="1" s="1"/>
  <c r="BT48" i="1"/>
  <c r="BT119" i="1" s="1"/>
  <c r="BU48" i="1"/>
  <c r="BU119" i="1" s="1"/>
  <c r="BV48" i="1"/>
  <c r="BV119" i="1" s="1"/>
  <c r="BW48" i="1"/>
  <c r="BW119" i="1" s="1"/>
  <c r="BX48" i="1"/>
  <c r="BX119" i="1" s="1"/>
  <c r="BY48" i="1"/>
  <c r="BY119" i="1" s="1"/>
  <c r="BZ48" i="1"/>
  <c r="BZ119" i="1" s="1"/>
  <c r="E53" i="1"/>
  <c r="E120" i="1" s="1"/>
  <c r="F53" i="1"/>
  <c r="F120" i="1" s="1"/>
  <c r="G53" i="1"/>
  <c r="H53" i="1"/>
  <c r="H120" i="1" s="1"/>
  <c r="I53" i="1"/>
  <c r="J53" i="1"/>
  <c r="J120" i="1" s="1"/>
  <c r="K53" i="1"/>
  <c r="K120" i="1" s="1"/>
  <c r="L53" i="1"/>
  <c r="L120" i="1" s="1"/>
  <c r="M53" i="1"/>
  <c r="M120" i="1" s="1"/>
  <c r="N53" i="1"/>
  <c r="N120" i="1" s="1"/>
  <c r="O53" i="1"/>
  <c r="O120" i="1" s="1"/>
  <c r="P53" i="1"/>
  <c r="Q53" i="1"/>
  <c r="R53" i="1"/>
  <c r="R120" i="1" s="1"/>
  <c r="S53" i="1"/>
  <c r="S120" i="1" s="1"/>
  <c r="T53" i="1"/>
  <c r="T120" i="1" s="1"/>
  <c r="U53" i="1"/>
  <c r="U120" i="1" s="1"/>
  <c r="V53" i="1"/>
  <c r="V120" i="1" s="1"/>
  <c r="W53" i="1"/>
  <c r="W120" i="1" s="1"/>
  <c r="X53" i="1"/>
  <c r="Y53" i="1"/>
  <c r="Z53" i="1"/>
  <c r="Z120" i="1" s="1"/>
  <c r="AA53" i="1"/>
  <c r="AA120" i="1" s="1"/>
  <c r="AB53" i="1"/>
  <c r="AB120" i="1" s="1"/>
  <c r="AC53" i="1"/>
  <c r="AC120" i="1" s="1"/>
  <c r="AD53" i="1"/>
  <c r="AD120" i="1" s="1"/>
  <c r="AE53" i="1"/>
  <c r="AE120" i="1" s="1"/>
  <c r="AF53" i="1"/>
  <c r="AF120" i="1" s="1"/>
  <c r="AG53" i="1"/>
  <c r="AH53" i="1"/>
  <c r="AH120" i="1" s="1"/>
  <c r="AI53" i="1"/>
  <c r="AJ53" i="1"/>
  <c r="AJ120" i="1" s="1"/>
  <c r="AK53" i="1"/>
  <c r="AK120" i="1" s="1"/>
  <c r="AL53" i="1"/>
  <c r="AL120" i="1" s="1"/>
  <c r="AM53" i="1"/>
  <c r="AM120" i="1" s="1"/>
  <c r="AN53" i="1"/>
  <c r="AO53" i="1"/>
  <c r="AP53" i="1"/>
  <c r="AP120" i="1" s="1"/>
  <c r="AQ53" i="1"/>
  <c r="AR53" i="1"/>
  <c r="AR120" i="1" s="1"/>
  <c r="AS53" i="1"/>
  <c r="AS120" i="1" s="1"/>
  <c r="AT53" i="1"/>
  <c r="AT120" i="1" s="1"/>
  <c r="AU53" i="1"/>
  <c r="AU120" i="1" s="1"/>
  <c r="AV53" i="1"/>
  <c r="AV120" i="1" s="1"/>
  <c r="AW53" i="1"/>
  <c r="AX53" i="1"/>
  <c r="AX120" i="1" s="1"/>
  <c r="AY53" i="1"/>
  <c r="AY120" i="1" s="1"/>
  <c r="AZ53" i="1"/>
  <c r="AZ120" i="1" s="1"/>
  <c r="BA53" i="1"/>
  <c r="BA120" i="1" s="1"/>
  <c r="BB53" i="1"/>
  <c r="BB120" i="1" s="1"/>
  <c r="BC53" i="1"/>
  <c r="BD53" i="1"/>
  <c r="BD120" i="1" s="1"/>
  <c r="BE53" i="1"/>
  <c r="BE120" i="1" s="1"/>
  <c r="BF53" i="1"/>
  <c r="BF120" i="1" s="1"/>
  <c r="BG53" i="1"/>
  <c r="BI53" i="1"/>
  <c r="BJ53" i="1"/>
  <c r="BK53" i="1"/>
  <c r="BL53" i="1"/>
  <c r="BL120" i="1" s="1"/>
  <c r="BM53" i="1"/>
  <c r="BM120" i="1" s="1"/>
  <c r="BN53" i="1"/>
  <c r="BN120" i="1" s="1"/>
  <c r="BO53" i="1"/>
  <c r="BO120" i="1" s="1"/>
  <c r="BP53" i="1"/>
  <c r="BP120" i="1" s="1"/>
  <c r="BQ53" i="1"/>
  <c r="BQ120" i="1" s="1"/>
  <c r="BR53" i="1"/>
  <c r="BS53" i="1"/>
  <c r="BT53" i="1"/>
  <c r="BT120" i="1" s="1"/>
  <c r="BU53" i="1"/>
  <c r="BU120" i="1" s="1"/>
  <c r="BV53" i="1"/>
  <c r="BV120" i="1" s="1"/>
  <c r="BW53" i="1"/>
  <c r="BW120" i="1" s="1"/>
  <c r="BX53" i="1"/>
  <c r="BX120" i="1" s="1"/>
  <c r="BY53" i="1"/>
  <c r="BZ53" i="1"/>
  <c r="BZ120" i="1" s="1"/>
  <c r="E58" i="1"/>
  <c r="F58" i="1"/>
  <c r="F121" i="1" s="1"/>
  <c r="G58" i="1"/>
  <c r="G121" i="1" s="1"/>
  <c r="H58" i="1"/>
  <c r="H121" i="1" s="1"/>
  <c r="I58" i="1"/>
  <c r="I121" i="1" s="1"/>
  <c r="J58" i="1"/>
  <c r="J121" i="1" s="1"/>
  <c r="K58" i="1"/>
  <c r="K121" i="1" s="1"/>
  <c r="L58" i="1"/>
  <c r="M58" i="1"/>
  <c r="M121" i="1" s="1"/>
  <c r="N58" i="1"/>
  <c r="N121" i="1" s="1"/>
  <c r="O58" i="1"/>
  <c r="O121" i="1" s="1"/>
  <c r="P58" i="1"/>
  <c r="P121" i="1" s="1"/>
  <c r="Q58" i="1"/>
  <c r="Q121" i="1" s="1"/>
  <c r="R58" i="1"/>
  <c r="R121" i="1" s="1"/>
  <c r="S58" i="1"/>
  <c r="S121" i="1" s="1"/>
  <c r="T58" i="1"/>
  <c r="T121" i="1" s="1"/>
  <c r="U58" i="1"/>
  <c r="U121" i="1" s="1"/>
  <c r="V58" i="1"/>
  <c r="V121" i="1" s="1"/>
  <c r="W58" i="1"/>
  <c r="W121" i="1" s="1"/>
  <c r="X58" i="1"/>
  <c r="Y58" i="1"/>
  <c r="Y121" i="1" s="1"/>
  <c r="Z58" i="1"/>
  <c r="Z121" i="1" s="1"/>
  <c r="AA58" i="1"/>
  <c r="AA121" i="1" s="1"/>
  <c r="AB58" i="1"/>
  <c r="AB121" i="1" s="1"/>
  <c r="AC58" i="1"/>
  <c r="AC121" i="1" s="1"/>
  <c r="AD58" i="1"/>
  <c r="AD121" i="1" s="1"/>
  <c r="AE58" i="1"/>
  <c r="AE121" i="1" s="1"/>
  <c r="AF58" i="1"/>
  <c r="AF121" i="1" s="1"/>
  <c r="AG58" i="1"/>
  <c r="AG121" i="1" s="1"/>
  <c r="AH58" i="1"/>
  <c r="AH121" i="1" s="1"/>
  <c r="AI58" i="1"/>
  <c r="AI121" i="1" s="1"/>
  <c r="AJ58" i="1"/>
  <c r="AJ121" i="1" s="1"/>
  <c r="AK58" i="1"/>
  <c r="AK121" i="1" s="1"/>
  <c r="AL58" i="1"/>
  <c r="AL121" i="1" s="1"/>
  <c r="AM58" i="1"/>
  <c r="AM121" i="1" s="1"/>
  <c r="AN58" i="1"/>
  <c r="AN121" i="1" s="1"/>
  <c r="AO58" i="1"/>
  <c r="AO121" i="1" s="1"/>
  <c r="AP58" i="1"/>
  <c r="AP121" i="1" s="1"/>
  <c r="AQ58" i="1"/>
  <c r="AQ121" i="1" s="1"/>
  <c r="AR58" i="1"/>
  <c r="AR121" i="1" s="1"/>
  <c r="AS58" i="1"/>
  <c r="AS121" i="1" s="1"/>
  <c r="AT58" i="1"/>
  <c r="AT121" i="1" s="1"/>
  <c r="AU58" i="1"/>
  <c r="AU121" i="1" s="1"/>
  <c r="AV58" i="1"/>
  <c r="AV121" i="1" s="1"/>
  <c r="AW58" i="1"/>
  <c r="AW121" i="1" s="1"/>
  <c r="AX58" i="1"/>
  <c r="AY58" i="1"/>
  <c r="AY121" i="1" s="1"/>
  <c r="AZ58" i="1"/>
  <c r="AZ121" i="1" s="1"/>
  <c r="BA58" i="1"/>
  <c r="BA121" i="1" s="1"/>
  <c r="BB58" i="1"/>
  <c r="BB121" i="1" s="1"/>
  <c r="BC58" i="1"/>
  <c r="BC121" i="1" s="1"/>
  <c r="BD58" i="1"/>
  <c r="BD121" i="1" s="1"/>
  <c r="BE58" i="1"/>
  <c r="BE121" i="1" s="1"/>
  <c r="BF58" i="1"/>
  <c r="BF121" i="1" s="1"/>
  <c r="BG58" i="1"/>
  <c r="BG121" i="1" s="1"/>
  <c r="BI58" i="1"/>
  <c r="BI121" i="1" s="1"/>
  <c r="BJ58" i="1"/>
  <c r="BJ121" i="1" s="1"/>
  <c r="BK58" i="1"/>
  <c r="BK121" i="1" s="1"/>
  <c r="BL58" i="1"/>
  <c r="BL121" i="1" s="1"/>
  <c r="BM58" i="1"/>
  <c r="BM121" i="1" s="1"/>
  <c r="BN58" i="1"/>
  <c r="BN121" i="1" s="1"/>
  <c r="BO58" i="1"/>
  <c r="BO121" i="1" s="1"/>
  <c r="BP58" i="1"/>
  <c r="BP121" i="1" s="1"/>
  <c r="BQ58" i="1"/>
  <c r="BQ121" i="1" s="1"/>
  <c r="BR58" i="1"/>
  <c r="BR121" i="1" s="1"/>
  <c r="BS58" i="1"/>
  <c r="BT58" i="1"/>
  <c r="BT121" i="1" s="1"/>
  <c r="BU58" i="1"/>
  <c r="BU121" i="1" s="1"/>
  <c r="BV58" i="1"/>
  <c r="BV121" i="1" s="1"/>
  <c r="BW58" i="1"/>
  <c r="BW121" i="1" s="1"/>
  <c r="BX58" i="1"/>
  <c r="BX121" i="1" s="1"/>
  <c r="BY58" i="1"/>
  <c r="BY121" i="1" s="1"/>
  <c r="BZ58" i="1"/>
  <c r="BZ121" i="1" s="1"/>
  <c r="E77" i="1"/>
  <c r="E130" i="1" s="1"/>
  <c r="F77" i="1"/>
  <c r="G77" i="1"/>
  <c r="G130" i="1" s="1"/>
  <c r="H77" i="1"/>
  <c r="H130" i="1" s="1"/>
  <c r="I77" i="1"/>
  <c r="I130" i="1" s="1"/>
  <c r="J77" i="1"/>
  <c r="J130" i="1" s="1"/>
  <c r="K77" i="1"/>
  <c r="K130" i="1" s="1"/>
  <c r="L77" i="1"/>
  <c r="L130" i="1" s="1"/>
  <c r="M77" i="1"/>
  <c r="M130" i="1" s="1"/>
  <c r="N77" i="1"/>
  <c r="N130" i="1" s="1"/>
  <c r="O77" i="1"/>
  <c r="O130" i="1" s="1"/>
  <c r="P77" i="1"/>
  <c r="P130" i="1" s="1"/>
  <c r="Q77" i="1"/>
  <c r="Q130" i="1" s="1"/>
  <c r="R77" i="1"/>
  <c r="R130" i="1" s="1"/>
  <c r="S77" i="1"/>
  <c r="S130" i="1" s="1"/>
  <c r="T77" i="1"/>
  <c r="T130" i="1" s="1"/>
  <c r="U77" i="1"/>
  <c r="U130" i="1" s="1"/>
  <c r="V77" i="1"/>
  <c r="V130" i="1" s="1"/>
  <c r="W77" i="1"/>
  <c r="W130" i="1" s="1"/>
  <c r="X77" i="1"/>
  <c r="X130" i="1" s="1"/>
  <c r="Y77" i="1"/>
  <c r="Y130" i="1" s="1"/>
  <c r="Z77" i="1"/>
  <c r="Z130" i="1" s="1"/>
  <c r="AA77" i="1"/>
  <c r="AA130" i="1" s="1"/>
  <c r="AB77" i="1"/>
  <c r="AB130" i="1" s="1"/>
  <c r="AC77" i="1"/>
  <c r="AC130" i="1" s="1"/>
  <c r="AD77" i="1"/>
  <c r="AE77" i="1"/>
  <c r="AF77" i="1"/>
  <c r="AF130" i="1" s="1"/>
  <c r="AG77" i="1"/>
  <c r="AG130" i="1" s="1"/>
  <c r="AH77" i="1"/>
  <c r="AH130" i="1" s="1"/>
  <c r="AI77" i="1"/>
  <c r="AI130" i="1" s="1"/>
  <c r="AJ77" i="1"/>
  <c r="AJ130" i="1" s="1"/>
  <c r="AK77" i="1"/>
  <c r="AK130" i="1" s="1"/>
  <c r="AL77" i="1"/>
  <c r="AL130" i="1" s="1"/>
  <c r="AM77" i="1"/>
  <c r="AM130" i="1" s="1"/>
  <c r="AN77" i="1"/>
  <c r="AN130" i="1" s="1"/>
  <c r="AO77" i="1"/>
  <c r="AO130" i="1" s="1"/>
  <c r="AP77" i="1"/>
  <c r="AP130" i="1" s="1"/>
  <c r="AQ77" i="1"/>
  <c r="AQ130" i="1" s="1"/>
  <c r="AR77" i="1"/>
  <c r="AR130" i="1" s="1"/>
  <c r="AS77" i="1"/>
  <c r="AS130" i="1" s="1"/>
  <c r="AT77" i="1"/>
  <c r="AT130" i="1" s="1"/>
  <c r="AU77" i="1"/>
  <c r="AV77" i="1"/>
  <c r="AV130" i="1" s="1"/>
  <c r="AW77" i="1"/>
  <c r="AW130" i="1" s="1"/>
  <c r="AX77" i="1"/>
  <c r="AX130" i="1" s="1"/>
  <c r="AY77" i="1"/>
  <c r="AY130" i="1" s="1"/>
  <c r="AZ77" i="1"/>
  <c r="AZ130" i="1" s="1"/>
  <c r="BA77" i="1"/>
  <c r="BA130" i="1" s="1"/>
  <c r="BB77" i="1"/>
  <c r="BB130" i="1" s="1"/>
  <c r="BC77" i="1"/>
  <c r="BC130" i="1" s="1"/>
  <c r="BD77" i="1"/>
  <c r="BD130" i="1" s="1"/>
  <c r="BE77" i="1"/>
  <c r="BE130" i="1" s="1"/>
  <c r="BF77" i="1"/>
  <c r="BF130" i="1" s="1"/>
  <c r="BG77" i="1"/>
  <c r="BG130" i="1" s="1"/>
  <c r="BI77" i="1"/>
  <c r="BI130" i="1" s="1"/>
  <c r="BJ77" i="1"/>
  <c r="BJ130" i="1" s="1"/>
  <c r="BK77" i="1"/>
  <c r="BK130" i="1" s="1"/>
  <c r="BL77" i="1"/>
  <c r="BM77" i="1"/>
  <c r="BM130" i="1" s="1"/>
  <c r="BN77" i="1"/>
  <c r="BO77" i="1"/>
  <c r="BO130" i="1" s="1"/>
  <c r="BP77" i="1"/>
  <c r="BP130" i="1" s="1"/>
  <c r="BQ77" i="1"/>
  <c r="BR77" i="1"/>
  <c r="BR130" i="1" s="1"/>
  <c r="BS77" i="1"/>
  <c r="BS130" i="1" s="1"/>
  <c r="BT77" i="1"/>
  <c r="BT130" i="1" s="1"/>
  <c r="BU77" i="1"/>
  <c r="BU130" i="1" s="1"/>
  <c r="BV77" i="1"/>
  <c r="BV130" i="1" s="1"/>
  <c r="BW77" i="1"/>
  <c r="BW130" i="1" s="1"/>
  <c r="BX77" i="1"/>
  <c r="BX130" i="1" s="1"/>
  <c r="BY77" i="1"/>
  <c r="BZ77" i="1"/>
  <c r="BZ130" i="1" s="1"/>
  <c r="E83" i="1"/>
  <c r="F83" i="1"/>
  <c r="G83" i="1"/>
  <c r="G131" i="1" s="1"/>
  <c r="H83" i="1"/>
  <c r="H131" i="1" s="1"/>
  <c r="I83" i="1"/>
  <c r="I131" i="1" s="1"/>
  <c r="J83" i="1"/>
  <c r="J131" i="1" s="1"/>
  <c r="K83" i="1"/>
  <c r="K131" i="1" s="1"/>
  <c r="L83" i="1"/>
  <c r="L131" i="1" s="1"/>
  <c r="M83" i="1"/>
  <c r="M131" i="1" s="1"/>
  <c r="N83" i="1"/>
  <c r="N131" i="1" s="1"/>
  <c r="O83" i="1"/>
  <c r="O131" i="1" s="1"/>
  <c r="P83" i="1"/>
  <c r="P131" i="1" s="1"/>
  <c r="Q83" i="1"/>
  <c r="Q131" i="1" s="1"/>
  <c r="R83" i="1"/>
  <c r="S83" i="1"/>
  <c r="S131" i="1" s="1"/>
  <c r="T83" i="1"/>
  <c r="T131" i="1" s="1"/>
  <c r="U83" i="1"/>
  <c r="U131" i="1" s="1"/>
  <c r="V83" i="1"/>
  <c r="W83" i="1"/>
  <c r="W131" i="1" s="1"/>
  <c r="X83" i="1"/>
  <c r="X131" i="1" s="1"/>
  <c r="Y83" i="1"/>
  <c r="Y131" i="1" s="1"/>
  <c r="Z83" i="1"/>
  <c r="Z131" i="1" s="1"/>
  <c r="AA83" i="1"/>
  <c r="AA131" i="1" s="1"/>
  <c r="AB83" i="1"/>
  <c r="AB131" i="1" s="1"/>
  <c r="AC83" i="1"/>
  <c r="AC131" i="1" s="1"/>
  <c r="AD83" i="1"/>
  <c r="AD131" i="1" s="1"/>
  <c r="AE83" i="1"/>
  <c r="AE131" i="1" s="1"/>
  <c r="AF83" i="1"/>
  <c r="AF131" i="1" s="1"/>
  <c r="AG83" i="1"/>
  <c r="AG131" i="1" s="1"/>
  <c r="AH83" i="1"/>
  <c r="AH131" i="1" s="1"/>
  <c r="AI83" i="1"/>
  <c r="AI131" i="1" s="1"/>
  <c r="AJ83" i="1"/>
  <c r="AJ131" i="1" s="1"/>
  <c r="AK83" i="1"/>
  <c r="AK131" i="1" s="1"/>
  <c r="AL83" i="1"/>
  <c r="AM83" i="1"/>
  <c r="AM131" i="1" s="1"/>
  <c r="AN83" i="1"/>
  <c r="AN131" i="1" s="1"/>
  <c r="AO83" i="1"/>
  <c r="AO131" i="1" s="1"/>
  <c r="AP83" i="1"/>
  <c r="AP131" i="1" s="1"/>
  <c r="AQ83" i="1"/>
  <c r="AR83" i="1"/>
  <c r="AR131" i="1" s="1"/>
  <c r="AS83" i="1"/>
  <c r="AS131" i="1" s="1"/>
  <c r="AT83" i="1"/>
  <c r="AT131" i="1" s="1"/>
  <c r="AU83" i="1"/>
  <c r="AU131" i="1" s="1"/>
  <c r="AV83" i="1"/>
  <c r="AV131" i="1" s="1"/>
  <c r="AW83" i="1"/>
  <c r="AW131" i="1" s="1"/>
  <c r="AX83" i="1"/>
  <c r="AX131" i="1" s="1"/>
  <c r="AY83" i="1"/>
  <c r="AY131" i="1" s="1"/>
  <c r="AZ83" i="1"/>
  <c r="AZ131" i="1" s="1"/>
  <c r="BA83" i="1"/>
  <c r="BA131" i="1" s="1"/>
  <c r="BB83" i="1"/>
  <c r="BB131" i="1" s="1"/>
  <c r="BC83" i="1"/>
  <c r="BC131" i="1" s="1"/>
  <c r="BD83" i="1"/>
  <c r="BD131" i="1" s="1"/>
  <c r="BE83" i="1"/>
  <c r="BE131" i="1" s="1"/>
  <c r="BF83" i="1"/>
  <c r="BF131" i="1" s="1"/>
  <c r="BG83" i="1"/>
  <c r="BG131" i="1" s="1"/>
  <c r="BI83" i="1"/>
  <c r="BJ83" i="1"/>
  <c r="BJ131" i="1" s="1"/>
  <c r="BK83" i="1"/>
  <c r="BK131" i="1" s="1"/>
  <c r="BL83" i="1"/>
  <c r="BL131" i="1" s="1"/>
  <c r="BM83" i="1"/>
  <c r="BM131" i="1" s="1"/>
  <c r="BN83" i="1"/>
  <c r="BN131" i="1" s="1"/>
  <c r="BO83" i="1"/>
  <c r="BO131" i="1" s="1"/>
  <c r="BP83" i="1"/>
  <c r="BP131" i="1" s="1"/>
  <c r="BQ83" i="1"/>
  <c r="BQ131" i="1" s="1"/>
  <c r="BR83" i="1"/>
  <c r="BR131" i="1" s="1"/>
  <c r="BS83" i="1"/>
  <c r="BS131" i="1" s="1"/>
  <c r="BT83" i="1"/>
  <c r="BT131" i="1" s="1"/>
  <c r="BU83" i="1"/>
  <c r="BU131" i="1" s="1"/>
  <c r="BV83" i="1"/>
  <c r="BV131" i="1" s="1"/>
  <c r="BW83" i="1"/>
  <c r="BW131" i="1" s="1"/>
  <c r="BX83" i="1"/>
  <c r="BX131" i="1" s="1"/>
  <c r="BY83" i="1"/>
  <c r="BY131" i="1" s="1"/>
  <c r="BZ83" i="1"/>
  <c r="BZ131" i="1" s="1"/>
  <c r="E99" i="1"/>
  <c r="F99" i="1"/>
  <c r="F133" i="1" s="1"/>
  <c r="G99" i="1"/>
  <c r="G133" i="1" s="1"/>
  <c r="H99" i="1"/>
  <c r="I99" i="1"/>
  <c r="I133" i="1" s="1"/>
  <c r="J99" i="1"/>
  <c r="J133" i="1" s="1"/>
  <c r="K99" i="1"/>
  <c r="K133" i="1" s="1"/>
  <c r="L99" i="1"/>
  <c r="L133" i="1" s="1"/>
  <c r="M99" i="1"/>
  <c r="N99" i="1"/>
  <c r="O99" i="1"/>
  <c r="P99" i="1"/>
  <c r="P133" i="1" s="1"/>
  <c r="Q99" i="1"/>
  <c r="Q133" i="1" s="1"/>
  <c r="R99" i="1"/>
  <c r="R133" i="1" s="1"/>
  <c r="S99" i="1"/>
  <c r="S133" i="1" s="1"/>
  <c r="T99" i="1"/>
  <c r="T133" i="1" s="1"/>
  <c r="U99" i="1"/>
  <c r="V99" i="1"/>
  <c r="V133" i="1" s="1"/>
  <c r="W99" i="1"/>
  <c r="W133" i="1" s="1"/>
  <c r="X99" i="1"/>
  <c r="X133" i="1" s="1"/>
  <c r="Y99" i="1"/>
  <c r="Y133" i="1" s="1"/>
  <c r="Z99" i="1"/>
  <c r="Z133" i="1" s="1"/>
  <c r="AA99" i="1"/>
  <c r="AA133" i="1" s="1"/>
  <c r="AB99" i="1"/>
  <c r="AB133" i="1" s="1"/>
  <c r="AC99" i="1"/>
  <c r="AD99" i="1"/>
  <c r="AD133" i="1" s="1"/>
  <c r="AE99" i="1"/>
  <c r="AE133" i="1" s="1"/>
  <c r="AF99" i="1"/>
  <c r="AG99" i="1"/>
  <c r="AG133" i="1" s="1"/>
  <c r="AH99" i="1"/>
  <c r="AH133" i="1" s="1"/>
  <c r="AI99" i="1"/>
  <c r="AI133" i="1" s="1"/>
  <c r="AJ99" i="1"/>
  <c r="AJ133" i="1" s="1"/>
  <c r="AK99" i="1"/>
  <c r="AL99" i="1"/>
  <c r="AL133" i="1" s="1"/>
  <c r="AM99" i="1"/>
  <c r="AM133" i="1" s="1"/>
  <c r="AN99" i="1"/>
  <c r="AN133" i="1" s="1"/>
  <c r="AO99" i="1"/>
  <c r="AO133" i="1" s="1"/>
  <c r="AP99" i="1"/>
  <c r="AP133" i="1" s="1"/>
  <c r="AQ99" i="1"/>
  <c r="AQ133" i="1" s="1"/>
  <c r="AR99" i="1"/>
  <c r="AR133" i="1" s="1"/>
  <c r="AS99" i="1"/>
  <c r="AT99" i="1"/>
  <c r="AU99" i="1"/>
  <c r="AU133" i="1" s="1"/>
  <c r="AV99" i="1"/>
  <c r="AV133" i="1" s="1"/>
  <c r="AW99" i="1"/>
  <c r="AW133" i="1" s="1"/>
  <c r="AX99" i="1"/>
  <c r="AX133" i="1" s="1"/>
  <c r="AY99" i="1"/>
  <c r="AY133" i="1" s="1"/>
  <c r="AZ99" i="1"/>
  <c r="AZ133" i="1" s="1"/>
  <c r="BA99" i="1"/>
  <c r="BA133" i="1" s="1"/>
  <c r="BB99" i="1"/>
  <c r="BB133" i="1" s="1"/>
  <c r="BC99" i="1"/>
  <c r="BC133" i="1" s="1"/>
  <c r="BD99" i="1"/>
  <c r="BD133" i="1" s="1"/>
  <c r="BE99" i="1"/>
  <c r="BE133" i="1" s="1"/>
  <c r="BF99" i="1"/>
  <c r="BF133" i="1" s="1"/>
  <c r="BG99" i="1"/>
  <c r="BG133" i="1" s="1"/>
  <c r="BI99" i="1"/>
  <c r="BI133" i="1" s="1"/>
  <c r="BJ99" i="1"/>
  <c r="BK99" i="1"/>
  <c r="BL99" i="1"/>
  <c r="BL133" i="1" s="1"/>
  <c r="BM99" i="1"/>
  <c r="BM133" i="1" s="1"/>
  <c r="BN99" i="1"/>
  <c r="BN133" i="1" s="1"/>
  <c r="BO99" i="1"/>
  <c r="BP99" i="1"/>
  <c r="BQ99" i="1"/>
  <c r="BQ133" i="1" s="1"/>
  <c r="BR99" i="1"/>
  <c r="BR133" i="1" s="1"/>
  <c r="BS99" i="1"/>
  <c r="BS133" i="1" s="1"/>
  <c r="BT99" i="1"/>
  <c r="BT133" i="1" s="1"/>
  <c r="BU99" i="1"/>
  <c r="BU133" i="1" s="1"/>
  <c r="BV99" i="1"/>
  <c r="BV133" i="1" s="1"/>
  <c r="BW99" i="1"/>
  <c r="BX99" i="1"/>
  <c r="BX133" i="1" s="1"/>
  <c r="BY99" i="1"/>
  <c r="BY133" i="1" s="1"/>
  <c r="BZ99" i="1"/>
  <c r="BZ133" i="1" s="1"/>
  <c r="E104" i="1"/>
  <c r="E134" i="1" s="1"/>
  <c r="F104" i="1"/>
  <c r="F134" i="1" s="1"/>
  <c r="G104" i="1"/>
  <c r="G134" i="1" s="1"/>
  <c r="H104" i="1"/>
  <c r="I104" i="1"/>
  <c r="J104" i="1"/>
  <c r="J134" i="1" s="1"/>
  <c r="K104" i="1"/>
  <c r="K134" i="1" s="1"/>
  <c r="L104" i="1"/>
  <c r="L134" i="1" s="1"/>
  <c r="M104" i="1"/>
  <c r="M134" i="1" s="1"/>
  <c r="N104" i="1"/>
  <c r="N134" i="1" s="1"/>
  <c r="O104" i="1"/>
  <c r="O134" i="1" s="1"/>
  <c r="P104" i="1"/>
  <c r="P134" i="1" s="1"/>
  <c r="Q104" i="1"/>
  <c r="R104" i="1"/>
  <c r="R134" i="1" s="1"/>
  <c r="S104" i="1"/>
  <c r="S134" i="1" s="1"/>
  <c r="T104" i="1"/>
  <c r="U104" i="1"/>
  <c r="U134" i="1" s="1"/>
  <c r="V104" i="1"/>
  <c r="V134" i="1" s="1"/>
  <c r="W104" i="1"/>
  <c r="W134" i="1" s="1"/>
  <c r="X104" i="1"/>
  <c r="Y104" i="1"/>
  <c r="Z104" i="1"/>
  <c r="Z134" i="1" s="1"/>
  <c r="AA104" i="1"/>
  <c r="AA134" i="1" s="1"/>
  <c r="AB104" i="1"/>
  <c r="AC104" i="1"/>
  <c r="AC134" i="1" s="1"/>
  <c r="AD104" i="1"/>
  <c r="AD134" i="1" s="1"/>
  <c r="AE104" i="1"/>
  <c r="AE134" i="1" s="1"/>
  <c r="AF104" i="1"/>
  <c r="AF134" i="1" s="1"/>
  <c r="AG104" i="1"/>
  <c r="AH104" i="1"/>
  <c r="AH134" i="1" s="1"/>
  <c r="AI104" i="1"/>
  <c r="AJ104" i="1"/>
  <c r="AJ134" i="1" s="1"/>
  <c r="AK104" i="1"/>
  <c r="AK134" i="1" s="1"/>
  <c r="AL104" i="1"/>
  <c r="AL134" i="1" s="1"/>
  <c r="AM104" i="1"/>
  <c r="AM134" i="1" s="1"/>
  <c r="AN104" i="1"/>
  <c r="AN134" i="1" s="1"/>
  <c r="AO104" i="1"/>
  <c r="AP104" i="1"/>
  <c r="AP134" i="1" s="1"/>
  <c r="AQ104" i="1"/>
  <c r="AQ134" i="1" s="1"/>
  <c r="AR104" i="1"/>
  <c r="AR134" i="1" s="1"/>
  <c r="AS104" i="1"/>
  <c r="AS134" i="1" s="1"/>
  <c r="AT104" i="1"/>
  <c r="AT134" i="1" s="1"/>
  <c r="AU104" i="1"/>
  <c r="AU134" i="1" s="1"/>
  <c r="AV104" i="1"/>
  <c r="AV134" i="1" s="1"/>
  <c r="AW104" i="1"/>
  <c r="AX104" i="1"/>
  <c r="AY104" i="1"/>
  <c r="AY134" i="1" s="1"/>
  <c r="AZ104" i="1"/>
  <c r="AZ134" i="1" s="1"/>
  <c r="BA104" i="1"/>
  <c r="BA134" i="1" s="1"/>
  <c r="BB104" i="1"/>
  <c r="BB134" i="1" s="1"/>
  <c r="BC104" i="1"/>
  <c r="BC134" i="1" s="1"/>
  <c r="BD104" i="1"/>
  <c r="BD134" i="1" s="1"/>
  <c r="BE104" i="1"/>
  <c r="BF104" i="1"/>
  <c r="BF134" i="1" s="1"/>
  <c r="BG104" i="1"/>
  <c r="BI104" i="1"/>
  <c r="BI134" i="1" s="1"/>
  <c r="BJ104" i="1"/>
  <c r="BJ134" i="1" s="1"/>
  <c r="BK104" i="1"/>
  <c r="BL104" i="1"/>
  <c r="BM104" i="1"/>
  <c r="BM134" i="1" s="1"/>
  <c r="BN104" i="1"/>
  <c r="BN134" i="1" s="1"/>
  <c r="BO104" i="1"/>
  <c r="BO134" i="1" s="1"/>
  <c r="BP104" i="1"/>
  <c r="BP134" i="1" s="1"/>
  <c r="BQ104" i="1"/>
  <c r="BQ134" i="1" s="1"/>
  <c r="BR104" i="1"/>
  <c r="BR134" i="1" s="1"/>
  <c r="BS104" i="1"/>
  <c r="BT104" i="1"/>
  <c r="BT134" i="1" s="1"/>
  <c r="BU104" i="1"/>
  <c r="BV104" i="1"/>
  <c r="BV134" i="1" s="1"/>
  <c r="BW104" i="1"/>
  <c r="BW134" i="1" s="1"/>
  <c r="BX104" i="1"/>
  <c r="BX134" i="1" s="1"/>
  <c r="BY104" i="1"/>
  <c r="BY134" i="1" s="1"/>
  <c r="BZ104" i="1"/>
  <c r="BZ134" i="1" s="1"/>
  <c r="E109" i="1"/>
  <c r="E135" i="1" s="1"/>
  <c r="F109" i="1"/>
  <c r="F135" i="1" s="1"/>
  <c r="G109" i="1"/>
  <c r="G135" i="1" s="1"/>
  <c r="H109" i="1"/>
  <c r="H135" i="1" s="1"/>
  <c r="I109" i="1"/>
  <c r="I135" i="1" s="1"/>
  <c r="J109" i="1"/>
  <c r="J135" i="1" s="1"/>
  <c r="K109" i="1"/>
  <c r="K135" i="1" s="1"/>
  <c r="L109" i="1"/>
  <c r="L135" i="1" s="1"/>
  <c r="M109" i="1"/>
  <c r="M135" i="1" s="1"/>
  <c r="N109" i="1"/>
  <c r="N135" i="1" s="1"/>
  <c r="O109" i="1"/>
  <c r="O135" i="1" s="1"/>
  <c r="P109" i="1"/>
  <c r="P135" i="1" s="1"/>
  <c r="Q109" i="1"/>
  <c r="Q135" i="1" s="1"/>
  <c r="R109" i="1"/>
  <c r="R135" i="1" s="1"/>
  <c r="S109" i="1"/>
  <c r="S135" i="1" s="1"/>
  <c r="T109" i="1"/>
  <c r="T135" i="1" s="1"/>
  <c r="U109" i="1"/>
  <c r="U135" i="1" s="1"/>
  <c r="V109" i="1"/>
  <c r="V135" i="1" s="1"/>
  <c r="W109" i="1"/>
  <c r="W135" i="1" s="1"/>
  <c r="X109" i="1"/>
  <c r="X135" i="1" s="1"/>
  <c r="Y109" i="1"/>
  <c r="Y135" i="1" s="1"/>
  <c r="Z109" i="1"/>
  <c r="Z135" i="1" s="1"/>
  <c r="AA109" i="1"/>
  <c r="AA135" i="1" s="1"/>
  <c r="AB109" i="1"/>
  <c r="AB135" i="1" s="1"/>
  <c r="AC109" i="1"/>
  <c r="AC135" i="1" s="1"/>
  <c r="AD109" i="1"/>
  <c r="AD135" i="1" s="1"/>
  <c r="AE109" i="1"/>
  <c r="AE135" i="1" s="1"/>
  <c r="AF109" i="1"/>
  <c r="AF135" i="1" s="1"/>
  <c r="AG109" i="1"/>
  <c r="AG135" i="1" s="1"/>
  <c r="AH109" i="1"/>
  <c r="AH135" i="1" s="1"/>
  <c r="AI109" i="1"/>
  <c r="AI135" i="1" s="1"/>
  <c r="AJ109" i="1"/>
  <c r="AJ135" i="1" s="1"/>
  <c r="AK109" i="1"/>
  <c r="AL109" i="1"/>
  <c r="AL135" i="1" s="1"/>
  <c r="AM109" i="1"/>
  <c r="AM135" i="1" s="1"/>
  <c r="AN109" i="1"/>
  <c r="AO109" i="1"/>
  <c r="AP109" i="1"/>
  <c r="AP135" i="1" s="1"/>
  <c r="AQ109" i="1"/>
  <c r="AQ135" i="1" s="1"/>
  <c r="AR109" i="1"/>
  <c r="AR135" i="1" s="1"/>
  <c r="AS109" i="1"/>
  <c r="AT109" i="1"/>
  <c r="AT135" i="1" s="1"/>
  <c r="AU109" i="1"/>
  <c r="AU135" i="1" s="1"/>
  <c r="AV109" i="1"/>
  <c r="AV135" i="1" s="1"/>
  <c r="AW109" i="1"/>
  <c r="AW135" i="1" s="1"/>
  <c r="AX109" i="1"/>
  <c r="AX135" i="1" s="1"/>
  <c r="AY109" i="1"/>
  <c r="AY135" i="1" s="1"/>
  <c r="AZ109" i="1"/>
  <c r="AZ135" i="1" s="1"/>
  <c r="BA109" i="1"/>
  <c r="BB109" i="1"/>
  <c r="BB135" i="1" s="1"/>
  <c r="BC109" i="1"/>
  <c r="BC135" i="1" s="1"/>
  <c r="BD109" i="1"/>
  <c r="BD135" i="1" s="1"/>
  <c r="BE109" i="1"/>
  <c r="BF109" i="1"/>
  <c r="BF135" i="1" s="1"/>
  <c r="BG109" i="1"/>
  <c r="BG135" i="1" s="1"/>
  <c r="BI109" i="1"/>
  <c r="BI135" i="1" s="1"/>
  <c r="BJ109" i="1"/>
  <c r="BJ135" i="1" s="1"/>
  <c r="BK109" i="1"/>
  <c r="BK135" i="1" s="1"/>
  <c r="BL109" i="1"/>
  <c r="BL135" i="1" s="1"/>
  <c r="BM109" i="1"/>
  <c r="BM135" i="1" s="1"/>
  <c r="BN109" i="1"/>
  <c r="BN135" i="1" s="1"/>
  <c r="BO109" i="1"/>
  <c r="BO135" i="1" s="1"/>
  <c r="BP109" i="1"/>
  <c r="BP135" i="1" s="1"/>
  <c r="BQ109" i="1"/>
  <c r="BR109" i="1"/>
  <c r="BR135" i="1" s="1"/>
  <c r="BS109" i="1"/>
  <c r="BS135" i="1" s="1"/>
  <c r="BT109" i="1"/>
  <c r="BT135" i="1" s="1"/>
  <c r="BU109" i="1"/>
  <c r="BU135" i="1" s="1"/>
  <c r="BV109" i="1"/>
  <c r="BV135" i="1" s="1"/>
  <c r="BW109" i="1"/>
  <c r="BW135" i="1" s="1"/>
  <c r="BX109" i="1"/>
  <c r="BX135" i="1" s="1"/>
  <c r="BY109" i="1"/>
  <c r="BY135" i="1" s="1"/>
  <c r="BZ109" i="1"/>
  <c r="BZ135" i="1" s="1"/>
  <c r="C138" i="1"/>
  <c r="E131" i="1"/>
  <c r="E133" i="1"/>
  <c r="F130" i="1"/>
  <c r="F131" i="1"/>
  <c r="G120" i="1"/>
  <c r="H133" i="1"/>
  <c r="H134" i="1"/>
  <c r="I120" i="1"/>
  <c r="I134" i="1"/>
  <c r="J116" i="1"/>
  <c r="L119" i="1"/>
  <c r="L121" i="1"/>
  <c r="M133" i="1"/>
  <c r="N117" i="1"/>
  <c r="N133" i="1"/>
  <c r="O133" i="1"/>
  <c r="P120" i="1"/>
  <c r="Q120" i="1"/>
  <c r="Q134" i="1"/>
  <c r="R131" i="1"/>
  <c r="T134" i="1"/>
  <c r="U133" i="1"/>
  <c r="V131" i="1"/>
  <c r="X120" i="1"/>
  <c r="X121" i="1"/>
  <c r="X134" i="1"/>
  <c r="Y120" i="1"/>
  <c r="Y134" i="1"/>
  <c r="AB119" i="1"/>
  <c r="AB134" i="1"/>
  <c r="AC133" i="1"/>
  <c r="AD130" i="1"/>
  <c r="AE130" i="1"/>
  <c r="AF133" i="1"/>
  <c r="AG120" i="1"/>
  <c r="AG134" i="1"/>
  <c r="AI120" i="1"/>
  <c r="AI134" i="1"/>
  <c r="AJ119" i="1"/>
  <c r="AK133" i="1"/>
  <c r="AK135" i="1"/>
  <c r="AL131" i="1"/>
  <c r="AN120" i="1"/>
  <c r="AN135" i="1"/>
  <c r="AO120" i="1"/>
  <c r="AO134" i="1"/>
  <c r="AO135" i="1"/>
  <c r="AQ120" i="1"/>
  <c r="AQ131" i="1"/>
  <c r="AR119" i="1"/>
  <c r="AS133" i="1"/>
  <c r="AS135" i="1"/>
  <c r="AT133" i="1"/>
  <c r="AU116" i="1"/>
  <c r="AU130" i="1"/>
  <c r="AW120" i="1"/>
  <c r="AW134" i="1"/>
  <c r="AX121" i="1"/>
  <c r="AX134" i="1"/>
  <c r="AZ119" i="1"/>
  <c r="BA116" i="1"/>
  <c r="BA135" i="1"/>
  <c r="BB117" i="1"/>
  <c r="BC120" i="1"/>
  <c r="BE134" i="1"/>
  <c r="BE135" i="1"/>
  <c r="BG117" i="1"/>
  <c r="BG120" i="1"/>
  <c r="BG134" i="1"/>
  <c r="BI120" i="1"/>
  <c r="BI131" i="1"/>
  <c r="BJ120" i="1"/>
  <c r="BJ133" i="1"/>
  <c r="BK120" i="1"/>
  <c r="BK134" i="1"/>
  <c r="BL116" i="1"/>
  <c r="BL134" i="1"/>
  <c r="BN130" i="1"/>
  <c r="BO133" i="1"/>
  <c r="BP133" i="1"/>
  <c r="BQ130" i="1"/>
  <c r="BQ135" i="1"/>
  <c r="BR119" i="1"/>
  <c r="BR120" i="1"/>
  <c r="BS120" i="1"/>
  <c r="BS121" i="1"/>
  <c r="BS134" i="1"/>
  <c r="BT116" i="1"/>
  <c r="BU134" i="1"/>
  <c r="BW133" i="1"/>
  <c r="BX117" i="1"/>
  <c r="BY120" i="1"/>
  <c r="BY130" i="1"/>
  <c r="C15" i="17"/>
  <c r="C43" i="11"/>
  <c r="C44" i="16"/>
  <c r="C32" i="11"/>
  <c r="C33" i="16" s="1"/>
  <c r="C21" i="11"/>
  <c r="C22" i="16" s="1"/>
  <c r="E12" i="11"/>
  <c r="E22" i="11" s="1"/>
  <c r="F12" i="11"/>
  <c r="F44" i="11" s="1"/>
  <c r="G12" i="11"/>
  <c r="G44" i="11" s="1"/>
  <c r="H12" i="11"/>
  <c r="H44" i="11" s="1"/>
  <c r="I12" i="11"/>
  <c r="I33" i="11" s="1"/>
  <c r="J12" i="11"/>
  <c r="K12" i="11"/>
  <c r="K44" i="11" s="1"/>
  <c r="L12" i="11"/>
  <c r="L33" i="11" s="1"/>
  <c r="M12" i="11"/>
  <c r="N12" i="11"/>
  <c r="N44" i="11" s="1"/>
  <c r="O12" i="11"/>
  <c r="O22" i="11" s="1"/>
  <c r="P12" i="11"/>
  <c r="P44" i="11" s="1"/>
  <c r="Q12" i="11"/>
  <c r="R12" i="11"/>
  <c r="R44" i="11" s="1"/>
  <c r="S12" i="11"/>
  <c r="S22" i="11" s="1"/>
  <c r="T12" i="11"/>
  <c r="T22" i="11" s="1"/>
  <c r="U12" i="11"/>
  <c r="U33" i="11" s="1"/>
  <c r="V12" i="11"/>
  <c r="V22" i="11" s="1"/>
  <c r="W12" i="11"/>
  <c r="X12" i="11"/>
  <c r="X33" i="11" s="1"/>
  <c r="Y12" i="11"/>
  <c r="Y33" i="11" s="1"/>
  <c r="Z12" i="11"/>
  <c r="Z44" i="11" s="1"/>
  <c r="AA12" i="11"/>
  <c r="AB12" i="11"/>
  <c r="AB22" i="11" s="1"/>
  <c r="AC12" i="11"/>
  <c r="AC44" i="11" s="1"/>
  <c r="AD12" i="11"/>
  <c r="AE12" i="11"/>
  <c r="AF12" i="11"/>
  <c r="AF33" i="11" s="1"/>
  <c r="AG12" i="11"/>
  <c r="AH12" i="11"/>
  <c r="AH44" i="11" s="1"/>
  <c r="AI12" i="11"/>
  <c r="AI33" i="11" s="1"/>
  <c r="AJ12" i="11"/>
  <c r="AK12" i="11"/>
  <c r="AK22" i="11" s="1"/>
  <c r="AL12" i="11"/>
  <c r="AL22" i="11" s="1"/>
  <c r="AM12" i="11"/>
  <c r="AN12" i="11"/>
  <c r="AN33" i="11" s="1"/>
  <c r="AO12" i="11"/>
  <c r="AO33" i="11" s="1"/>
  <c r="AP12" i="11"/>
  <c r="AP44" i="11" s="1"/>
  <c r="AQ12" i="11"/>
  <c r="AR12" i="11"/>
  <c r="AR22" i="11" s="1"/>
  <c r="AS12" i="11"/>
  <c r="AS33" i="11" s="1"/>
  <c r="AT12" i="11"/>
  <c r="AT22" i="11" s="1"/>
  <c r="AU12" i="11"/>
  <c r="AV12" i="11"/>
  <c r="AV22" i="11" s="1"/>
  <c r="AW12" i="11"/>
  <c r="AW33" i="11" s="1"/>
  <c r="AX12" i="11"/>
  <c r="AY12" i="11"/>
  <c r="AY33" i="11" s="1"/>
  <c r="AZ12" i="11"/>
  <c r="AZ22" i="11" s="1"/>
  <c r="BA12" i="11"/>
  <c r="BA33" i="11" s="1"/>
  <c r="BB12" i="11"/>
  <c r="BB22" i="11" s="1"/>
  <c r="BC12" i="11"/>
  <c r="BC33" i="11" s="1"/>
  <c r="BD12" i="11"/>
  <c r="BD33" i="11" s="1"/>
  <c r="BE12" i="11"/>
  <c r="BE44" i="11" s="1"/>
  <c r="BF12" i="11"/>
  <c r="BG12" i="11"/>
  <c r="BG33" i="11" s="1"/>
  <c r="BI12" i="11"/>
  <c r="BJ12" i="11"/>
  <c r="BJ33" i="11" s="1"/>
  <c r="BK12" i="11"/>
  <c r="BK33" i="11" s="1"/>
  <c r="BL12" i="11"/>
  <c r="BM12" i="11"/>
  <c r="BM22" i="11" s="1"/>
  <c r="BN12" i="11"/>
  <c r="BN22" i="11" s="1"/>
  <c r="BO12" i="11"/>
  <c r="BO33" i="11" s="1"/>
  <c r="BP12" i="11"/>
  <c r="BP44" i="11" s="1"/>
  <c r="BQ12" i="11"/>
  <c r="BQ33" i="11" s="1"/>
  <c r="BR12" i="11"/>
  <c r="BR33" i="11" s="1"/>
  <c r="BS12" i="11"/>
  <c r="BT12" i="11"/>
  <c r="BU12" i="11"/>
  <c r="BU22" i="11" s="1"/>
  <c r="BV12" i="11"/>
  <c r="BV22" i="11" s="1"/>
  <c r="BW12" i="11"/>
  <c r="BW33" i="11" s="1"/>
  <c r="BX12" i="11"/>
  <c r="BX44" i="11" s="1"/>
  <c r="BY12" i="11"/>
  <c r="BY44" i="11" s="1"/>
  <c r="BZ12" i="11"/>
  <c r="C42" i="16"/>
  <c r="C41" i="16"/>
  <c r="C31" i="16"/>
  <c r="C30" i="16"/>
  <c r="C20" i="16"/>
  <c r="D9" i="16"/>
  <c r="D12" i="10"/>
  <c r="D20" i="10" s="1"/>
  <c r="D22" i="10" s="1"/>
  <c r="D39" i="10"/>
  <c r="E12" i="10"/>
  <c r="E39" i="10"/>
  <c r="F12" i="10"/>
  <c r="F20" i="10" s="1"/>
  <c r="F22" i="10" s="1"/>
  <c r="F39" i="10"/>
  <c r="G12" i="10"/>
  <c r="G20" i="10" s="1"/>
  <c r="G22" i="10" s="1"/>
  <c r="G24" i="10" s="1"/>
  <c r="G39" i="10"/>
  <c r="H12" i="10"/>
  <c r="H20" i="10" s="1"/>
  <c r="H22" i="10" s="1"/>
  <c r="H39" i="10"/>
  <c r="I12" i="10"/>
  <c r="I46" i="10" s="1"/>
  <c r="I48" i="10" s="1"/>
  <c r="I50" i="10" s="1"/>
  <c r="I39" i="10"/>
  <c r="J12" i="10"/>
  <c r="J29" i="10" s="1"/>
  <c r="J31" i="10" s="1"/>
  <c r="J33" i="10" s="1"/>
  <c r="J39" i="10"/>
  <c r="K12" i="10"/>
  <c r="K39" i="10"/>
  <c r="L12" i="10"/>
  <c r="L20" i="10" s="1"/>
  <c r="L22" i="10" s="1"/>
  <c r="L39" i="10"/>
  <c r="M12" i="10"/>
  <c r="M39" i="10"/>
  <c r="N12" i="10"/>
  <c r="N46" i="10" s="1"/>
  <c r="N48" i="10" s="1"/>
  <c r="N50" i="10" s="1"/>
  <c r="N39" i="10"/>
  <c r="O12" i="10"/>
  <c r="O56" i="10" s="1"/>
  <c r="O39" i="10"/>
  <c r="P12" i="10"/>
  <c r="P20" i="10" s="1"/>
  <c r="P22" i="10" s="1"/>
  <c r="P39" i="10"/>
  <c r="Q12" i="10"/>
  <c r="Q29" i="10" s="1"/>
  <c r="Q31" i="10" s="1"/>
  <c r="Q33" i="10" s="1"/>
  <c r="Q39" i="10"/>
  <c r="R12" i="10"/>
  <c r="R29" i="10" s="1"/>
  <c r="R31" i="10" s="1"/>
  <c r="R33" i="10" s="1"/>
  <c r="R39" i="10"/>
  <c r="S12" i="10"/>
  <c r="S39" i="10"/>
  <c r="T12" i="10"/>
  <c r="T29" i="10" s="1"/>
  <c r="T31" i="10" s="1"/>
  <c r="T33" i="10" s="1"/>
  <c r="T39" i="10"/>
  <c r="U12" i="10"/>
  <c r="U39" i="10"/>
  <c r="V12" i="10"/>
  <c r="V39" i="10"/>
  <c r="W12" i="10"/>
  <c r="W46" i="10" s="1"/>
  <c r="W48" i="10" s="1"/>
  <c r="W50" i="10" s="1"/>
  <c r="W39" i="10"/>
  <c r="X12" i="10"/>
  <c r="X46" i="10" s="1"/>
  <c r="X48" i="10" s="1"/>
  <c r="X50" i="10" s="1"/>
  <c r="X39" i="10"/>
  <c r="Y12" i="10"/>
  <c r="Y39" i="10"/>
  <c r="Z12" i="10"/>
  <c r="Z39" i="10"/>
  <c r="AA12" i="10"/>
  <c r="AA39" i="10"/>
  <c r="AB12" i="10"/>
  <c r="AB56" i="10" s="1"/>
  <c r="AB39" i="10"/>
  <c r="AC12" i="10"/>
  <c r="AC39" i="10"/>
  <c r="AD12" i="10"/>
  <c r="AD39" i="10"/>
  <c r="AE12" i="10"/>
  <c r="AE56" i="10" s="1"/>
  <c r="AE39" i="10"/>
  <c r="AF12" i="10"/>
  <c r="AF39" i="10"/>
  <c r="AG12" i="10"/>
  <c r="AG39" i="10"/>
  <c r="AH12" i="10"/>
  <c r="AH39" i="10"/>
  <c r="AI12" i="10"/>
  <c r="AI20" i="10" s="1"/>
  <c r="AI22" i="10" s="1"/>
  <c r="AI24" i="10" s="1"/>
  <c r="AI39" i="10"/>
  <c r="AJ12" i="10"/>
  <c r="AJ29" i="10" s="1"/>
  <c r="AJ31" i="10" s="1"/>
  <c r="AJ33" i="10" s="1"/>
  <c r="AJ39" i="10"/>
  <c r="AK12" i="10"/>
  <c r="AK39" i="10"/>
  <c r="AL12" i="10"/>
  <c r="AL39" i="10"/>
  <c r="AM12" i="10"/>
  <c r="AM46" i="10" s="1"/>
  <c r="AM48" i="10" s="1"/>
  <c r="AM50" i="10" s="1"/>
  <c r="AM39" i="10"/>
  <c r="AN12" i="10"/>
  <c r="AN39" i="10"/>
  <c r="AO12" i="10"/>
  <c r="AO39" i="10"/>
  <c r="AP12" i="10"/>
  <c r="AP20" i="10" s="1"/>
  <c r="AP22" i="10" s="1"/>
  <c r="AP39" i="10"/>
  <c r="AQ12" i="10"/>
  <c r="AQ29" i="10" s="1"/>
  <c r="AQ31" i="10" s="1"/>
  <c r="AQ33" i="10" s="1"/>
  <c r="AQ39" i="10"/>
  <c r="AR12" i="10"/>
  <c r="AR29" i="10" s="1"/>
  <c r="AR31" i="10" s="1"/>
  <c r="AR33" i="10" s="1"/>
  <c r="AR39" i="10"/>
  <c r="AS12" i="10"/>
  <c r="AS39" i="10"/>
  <c r="AT12" i="10"/>
  <c r="AT39" i="10"/>
  <c r="AU12" i="10"/>
  <c r="AU20" i="10" s="1"/>
  <c r="AU22" i="10" s="1"/>
  <c r="AU39" i="10"/>
  <c r="AV12" i="10"/>
  <c r="AV39" i="10"/>
  <c r="AW12" i="10"/>
  <c r="AW20" i="10" s="1"/>
  <c r="AW22" i="10" s="1"/>
  <c r="AW39" i="10"/>
  <c r="AX12" i="10"/>
  <c r="AX20" i="10" s="1"/>
  <c r="AX22" i="10" s="1"/>
  <c r="AX39" i="10"/>
  <c r="AY12" i="10"/>
  <c r="AY46" i="10" s="1"/>
  <c r="AY48" i="10" s="1"/>
  <c r="AY50" i="10" s="1"/>
  <c r="AY39" i="10"/>
  <c r="AZ12" i="10"/>
  <c r="AZ29" i="10" s="1"/>
  <c r="AZ31" i="10" s="1"/>
  <c r="AZ33" i="10" s="1"/>
  <c r="AZ39" i="10"/>
  <c r="BA12" i="10"/>
  <c r="BA39" i="10"/>
  <c r="BB12" i="10"/>
  <c r="BB20" i="10" s="1"/>
  <c r="BB22" i="10" s="1"/>
  <c r="BB39" i="10"/>
  <c r="BC12" i="10"/>
  <c r="BC46" i="10" s="1"/>
  <c r="BC48" i="10" s="1"/>
  <c r="BC50" i="10" s="1"/>
  <c r="BC39" i="10"/>
  <c r="BD12" i="10"/>
  <c r="BD39" i="10"/>
  <c r="BE12" i="10"/>
  <c r="BE20" i="10" s="1"/>
  <c r="BE22" i="10" s="1"/>
  <c r="BE39" i="10"/>
  <c r="BF12" i="10"/>
  <c r="BF39" i="10"/>
  <c r="BG12" i="10"/>
  <c r="BG46" i="10" s="1"/>
  <c r="BG48" i="10" s="1"/>
  <c r="BG50" i="10" s="1"/>
  <c r="BG39" i="10"/>
  <c r="BI12" i="10"/>
  <c r="BI39" i="10"/>
  <c r="BJ12" i="10"/>
  <c r="BJ46" i="10" s="1"/>
  <c r="BJ48" i="10" s="1"/>
  <c r="BJ50" i="10" s="1"/>
  <c r="BJ39" i="10"/>
  <c r="BK12" i="10"/>
  <c r="BK56" i="10" s="1"/>
  <c r="BK39" i="10"/>
  <c r="BL12" i="10"/>
  <c r="BL39" i="10"/>
  <c r="BM12" i="10"/>
  <c r="BM29" i="10" s="1"/>
  <c r="BM31" i="10" s="1"/>
  <c r="BM33" i="10" s="1"/>
  <c r="BM39" i="10"/>
  <c r="BN12" i="10"/>
  <c r="BN29" i="10" s="1"/>
  <c r="BN31" i="10" s="1"/>
  <c r="BN33" i="10" s="1"/>
  <c r="BN39" i="10"/>
  <c r="BO12" i="10"/>
  <c r="BO39" i="10"/>
  <c r="BP12" i="10"/>
  <c r="BP20" i="10" s="1"/>
  <c r="BP22" i="10" s="1"/>
  <c r="BP39" i="10"/>
  <c r="BQ12" i="10"/>
  <c r="BQ20" i="10" s="1"/>
  <c r="BQ22" i="10" s="1"/>
  <c r="BQ39" i="10"/>
  <c r="BR12" i="10"/>
  <c r="BR39" i="10"/>
  <c r="BS12" i="10"/>
  <c r="BS39" i="10"/>
  <c r="BT12" i="10"/>
  <c r="BT20" i="10" s="1"/>
  <c r="BT22" i="10" s="1"/>
  <c r="BT39" i="10"/>
  <c r="BU12" i="10"/>
  <c r="BU29" i="10" s="1"/>
  <c r="BU31" i="10" s="1"/>
  <c r="BU33" i="10" s="1"/>
  <c r="BU39" i="10"/>
  <c r="BV12" i="10"/>
  <c r="BV29" i="10" s="1"/>
  <c r="BV31" i="10" s="1"/>
  <c r="BV33" i="10" s="1"/>
  <c r="BV39" i="10"/>
  <c r="BW12" i="10"/>
  <c r="BW39" i="10"/>
  <c r="BX12" i="10"/>
  <c r="BX29" i="10" s="1"/>
  <c r="BX31" i="10" s="1"/>
  <c r="BX33" i="10" s="1"/>
  <c r="BX39" i="10"/>
  <c r="BY12" i="10"/>
  <c r="BY39" i="10"/>
  <c r="BZ12" i="10"/>
  <c r="BZ39" i="10"/>
  <c r="C55" i="15"/>
  <c r="C48" i="15"/>
  <c r="C45" i="10"/>
  <c r="C46" i="15" s="1"/>
  <c r="C39" i="15"/>
  <c r="C37" i="10"/>
  <c r="C38" i="15" s="1"/>
  <c r="C31" i="15"/>
  <c r="C28" i="10"/>
  <c r="C29" i="15" s="1"/>
  <c r="C22" i="15"/>
  <c r="C19" i="10"/>
  <c r="C20" i="15" s="1"/>
  <c r="D9" i="15"/>
  <c r="C150" i="13"/>
  <c r="C15" i="1"/>
  <c r="C16" i="13" s="1"/>
  <c r="C16" i="1"/>
  <c r="C17" i="13" s="1"/>
  <c r="C24" i="1"/>
  <c r="C25" i="13" s="1"/>
  <c r="C25" i="1"/>
  <c r="C26" i="13" s="1"/>
  <c r="C29" i="1"/>
  <c r="C30" i="13" s="1"/>
  <c r="C30" i="1"/>
  <c r="C31" i="13" s="1"/>
  <c r="C31" i="1"/>
  <c r="C32" i="13" s="1"/>
  <c r="C37" i="1"/>
  <c r="C38" i="13" s="1"/>
  <c r="C38" i="1"/>
  <c r="C39" i="13" s="1"/>
  <c r="C46" i="1"/>
  <c r="C47" i="13" s="1"/>
  <c r="C47" i="1"/>
  <c r="C48" i="13" s="1"/>
  <c r="C51" i="1"/>
  <c r="C52" i="13" s="1"/>
  <c r="C52" i="1"/>
  <c r="C53" i="13" s="1"/>
  <c r="C56" i="1"/>
  <c r="C57" i="13" s="1"/>
  <c r="C57" i="1"/>
  <c r="C58" i="13" s="1"/>
  <c r="C66" i="1"/>
  <c r="C67" i="13" s="1"/>
  <c r="C67" i="1"/>
  <c r="C68" i="13" s="1"/>
  <c r="C75" i="1"/>
  <c r="C76" i="13" s="1"/>
  <c r="C76" i="1"/>
  <c r="C77" i="13" s="1"/>
  <c r="C80" i="1"/>
  <c r="C81" i="13" s="1"/>
  <c r="C81" i="1"/>
  <c r="C82" i="13" s="1"/>
  <c r="C82" i="1"/>
  <c r="C83" i="13" s="1"/>
  <c r="C88" i="1"/>
  <c r="C89" i="13" s="1"/>
  <c r="C89" i="1"/>
  <c r="C90" i="13" s="1"/>
  <c r="C97" i="1"/>
  <c r="C98" i="13" s="1"/>
  <c r="C98" i="1"/>
  <c r="C99" i="13" s="1"/>
  <c r="C102" i="1"/>
  <c r="C103" i="13" s="1"/>
  <c r="C103" i="1"/>
  <c r="C104" i="13" s="1"/>
  <c r="C107" i="1"/>
  <c r="C108" i="13" s="1"/>
  <c r="C108" i="1"/>
  <c r="C109" i="13" s="1"/>
  <c r="C139" i="13"/>
  <c r="C145" i="13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T20" i="9"/>
  <c r="AU20" i="9"/>
  <c r="AV20" i="9"/>
  <c r="AW20" i="9"/>
  <c r="AX20" i="9"/>
  <c r="AY20" i="9"/>
  <c r="AZ20" i="9"/>
  <c r="BA20" i="9"/>
  <c r="BB20" i="9"/>
  <c r="BC20" i="9"/>
  <c r="BD20" i="9"/>
  <c r="BE20" i="9"/>
  <c r="BF20" i="9"/>
  <c r="BG20" i="9"/>
  <c r="BI20" i="9"/>
  <c r="BJ20" i="9"/>
  <c r="BK20" i="9"/>
  <c r="BL20" i="9"/>
  <c r="BM20" i="9"/>
  <c r="BN20" i="9"/>
  <c r="BO20" i="9"/>
  <c r="BP20" i="9"/>
  <c r="BQ20" i="9"/>
  <c r="BR20" i="9"/>
  <c r="BS20" i="9"/>
  <c r="BT20" i="9"/>
  <c r="BU20" i="9"/>
  <c r="BV20" i="9"/>
  <c r="BW20" i="9"/>
  <c r="BX20" i="9"/>
  <c r="BY20" i="9"/>
  <c r="BZ20" i="9"/>
  <c r="B12" i="11"/>
  <c r="B13" i="16" s="1"/>
  <c r="B12" i="10"/>
  <c r="B13" i="15" s="1"/>
  <c r="B12" i="9"/>
  <c r="B13" i="17" s="1"/>
  <c r="D15" i="17" l="1"/>
  <c r="D20" i="17"/>
  <c r="D21" i="17"/>
  <c r="D33" i="17"/>
  <c r="D34" i="17"/>
  <c r="D19" i="17"/>
  <c r="D42" i="17"/>
  <c r="BI46" i="10"/>
  <c r="BI48" i="10" s="1"/>
  <c r="BI50" i="10" s="1"/>
  <c r="BI20" i="10"/>
  <c r="BI22" i="10" s="1"/>
  <c r="BI24" i="10" s="1"/>
  <c r="BI29" i="10"/>
  <c r="BI31" i="10" s="1"/>
  <c r="BI33" i="10" s="1"/>
  <c r="D89" i="13"/>
  <c r="D109" i="13"/>
  <c r="D135" i="13"/>
  <c r="D18" i="13"/>
  <c r="D36" i="13"/>
  <c r="D53" i="13"/>
  <c r="D18" i="17"/>
  <c r="D69" i="13"/>
  <c r="D26" i="13"/>
  <c r="D58" i="13"/>
  <c r="D99" i="13"/>
  <c r="D121" i="13"/>
  <c r="D27" i="13"/>
  <c r="D68" i="13"/>
  <c r="D108" i="13"/>
  <c r="D13" i="17"/>
  <c r="D125" i="13"/>
  <c r="D38" i="13"/>
  <c r="D76" i="13"/>
  <c r="D40" i="13"/>
  <c r="D81" i="13"/>
  <c r="D139" i="13"/>
  <c r="D52" i="13"/>
  <c r="D87" i="13"/>
  <c r="D136" i="13"/>
  <c r="D134" i="13"/>
  <c r="D78" i="13"/>
  <c r="D33" i="13"/>
  <c r="D71" i="13"/>
  <c r="D17" i="13"/>
  <c r="D54" i="13"/>
  <c r="D90" i="13"/>
  <c r="D30" i="13"/>
  <c r="D47" i="13"/>
  <c r="D59" i="13"/>
  <c r="D82" i="13"/>
  <c r="D103" i="13"/>
  <c r="D20" i="13"/>
  <c r="D117" i="13"/>
  <c r="D122" i="13"/>
  <c r="D120" i="13"/>
  <c r="D65" i="13"/>
  <c r="D31" i="13"/>
  <c r="D48" i="13"/>
  <c r="D83" i="13"/>
  <c r="D104" i="13"/>
  <c r="D32" i="13"/>
  <c r="D49" i="13"/>
  <c r="D67" i="13"/>
  <c r="D84" i="13"/>
  <c r="D105" i="13"/>
  <c r="D25" i="13"/>
  <c r="D39" i="13"/>
  <c r="D57" i="13"/>
  <c r="D77" i="13"/>
  <c r="D98" i="13"/>
  <c r="D132" i="13"/>
  <c r="D16" i="17"/>
  <c r="D42" i="13"/>
  <c r="C12" i="10"/>
  <c r="C13" i="15" s="1"/>
  <c r="C12" i="11"/>
  <c r="C13" i="16" s="1"/>
  <c r="C125" i="13"/>
  <c r="C20" i="9"/>
  <c r="BF41" i="10"/>
  <c r="BA41" i="10"/>
  <c r="AO41" i="10"/>
  <c r="AK41" i="10"/>
  <c r="AG41" i="10"/>
  <c r="AC41" i="10"/>
  <c r="U41" i="10"/>
  <c r="BR41" i="10"/>
  <c r="AV41" i="10"/>
  <c r="AN41" i="10"/>
  <c r="BY41" i="10"/>
  <c r="C31" i="9"/>
  <c r="C32" i="17" s="1"/>
  <c r="C13" i="17"/>
  <c r="BI41" i="10"/>
  <c r="AI41" i="9"/>
  <c r="C53" i="1"/>
  <c r="C54" i="13" s="1"/>
  <c r="C48" i="1"/>
  <c r="C119" i="1" s="1"/>
  <c r="C120" i="13" s="1"/>
  <c r="C39" i="1"/>
  <c r="C58" i="1"/>
  <c r="C121" i="1" s="1"/>
  <c r="C122" i="13" s="1"/>
  <c r="E121" i="1"/>
  <c r="BL117" i="1"/>
  <c r="D118" i="13" s="1"/>
  <c r="C32" i="1"/>
  <c r="C33" i="13" s="1"/>
  <c r="C26" i="1"/>
  <c r="C116" i="1" s="1"/>
  <c r="C117" i="13" s="1"/>
  <c r="D110" i="13"/>
  <c r="C109" i="1"/>
  <c r="C110" i="13" s="1"/>
  <c r="C104" i="1"/>
  <c r="C105" i="13" s="1"/>
  <c r="C99" i="1"/>
  <c r="C133" i="1" s="1"/>
  <c r="C134" i="13" s="1"/>
  <c r="D100" i="13"/>
  <c r="BY33" i="11"/>
  <c r="BC20" i="10"/>
  <c r="BC22" i="10" s="1"/>
  <c r="BC24" i="10" s="1"/>
  <c r="S41" i="9"/>
  <c r="I31" i="9"/>
  <c r="H41" i="9"/>
  <c r="BD41" i="10"/>
  <c r="AA41" i="10"/>
  <c r="S41" i="10"/>
  <c r="K41" i="10"/>
  <c r="BW41" i="10"/>
  <c r="BO41" i="10"/>
  <c r="AH41" i="10"/>
  <c r="AD41" i="10"/>
  <c r="Z41" i="10"/>
  <c r="V41" i="10"/>
  <c r="BK133" i="1"/>
  <c r="C92" i="1"/>
  <c r="D93" i="13"/>
  <c r="C90" i="1"/>
  <c r="D91" i="13"/>
  <c r="C83" i="1"/>
  <c r="BL130" i="1"/>
  <c r="D131" i="13" s="1"/>
  <c r="C77" i="1"/>
  <c r="C70" i="1"/>
  <c r="C68" i="1"/>
  <c r="G41" i="1"/>
  <c r="C41" i="1" s="1"/>
  <c r="H117" i="1"/>
  <c r="BU19" i="1"/>
  <c r="C17" i="1"/>
  <c r="D19" i="1"/>
  <c r="BQ19" i="1"/>
  <c r="BM19" i="1"/>
  <c r="BD19" i="1"/>
  <c r="AN19" i="1"/>
  <c r="X19" i="1"/>
  <c r="H19" i="1"/>
  <c r="BZ31" i="9"/>
  <c r="AQ41" i="9"/>
  <c r="C41" i="9"/>
  <c r="C42" i="17" s="1"/>
  <c r="BG41" i="9"/>
  <c r="X41" i="9"/>
  <c r="AY41" i="9"/>
  <c r="P41" i="9"/>
  <c r="BL41" i="9"/>
  <c r="BB41" i="9"/>
  <c r="E31" i="9"/>
  <c r="AT41" i="9"/>
  <c r="AK41" i="9"/>
  <c r="BP41" i="9"/>
  <c r="AJ41" i="9"/>
  <c r="AK44" i="11"/>
  <c r="L22" i="11"/>
  <c r="AC33" i="11"/>
  <c r="N22" i="11"/>
  <c r="BP22" i="11"/>
  <c r="AO22" i="11"/>
  <c r="AI44" i="11"/>
  <c r="AY22" i="11"/>
  <c r="AR33" i="11"/>
  <c r="BY22" i="11"/>
  <c r="BR22" i="11"/>
  <c r="BM44" i="11"/>
  <c r="AI22" i="11"/>
  <c r="BJ44" i="11"/>
  <c r="BJ22" i="11"/>
  <c r="P33" i="11"/>
  <c r="P22" i="11"/>
  <c r="AY56" i="10"/>
  <c r="R20" i="10"/>
  <c r="R22" i="10" s="1"/>
  <c r="R24" i="10" s="1"/>
  <c r="AY41" i="10"/>
  <c r="BN20" i="10"/>
  <c r="BN22" i="10" s="1"/>
  <c r="BN24" i="10" s="1"/>
  <c r="BC41" i="10"/>
  <c r="O29" i="10"/>
  <c r="O31" i="10" s="1"/>
  <c r="O33" i="10" s="1"/>
  <c r="AY29" i="10"/>
  <c r="AY31" i="10" s="1"/>
  <c r="AY33" i="10" s="1"/>
  <c r="U20" i="10"/>
  <c r="U22" i="10" s="1"/>
  <c r="U24" i="10" s="1"/>
  <c r="BU20" i="10"/>
  <c r="BU22" i="10" s="1"/>
  <c r="BU24" i="10" s="1"/>
  <c r="O46" i="10"/>
  <c r="O48" i="10" s="1"/>
  <c r="O50" i="10" s="1"/>
  <c r="BV41" i="10"/>
  <c r="BR29" i="10"/>
  <c r="BR31" i="10" s="1"/>
  <c r="BR33" i="10" s="1"/>
  <c r="U46" i="10"/>
  <c r="U48" i="10" s="1"/>
  <c r="U50" i="10" s="1"/>
  <c r="BV20" i="10"/>
  <c r="BV22" i="10" s="1"/>
  <c r="BV24" i="10" s="1"/>
  <c r="BM46" i="10"/>
  <c r="BM48" i="10" s="1"/>
  <c r="BM50" i="10" s="1"/>
  <c r="AD46" i="10"/>
  <c r="AD48" i="10" s="1"/>
  <c r="AD50" i="10" s="1"/>
  <c r="O41" i="10"/>
  <c r="V56" i="10"/>
  <c r="BU46" i="10"/>
  <c r="BU48" i="10" s="1"/>
  <c r="BU50" i="10" s="1"/>
  <c r="O20" i="10"/>
  <c r="O22" i="10" s="1"/>
  <c r="O24" i="10" s="1"/>
  <c r="AE46" i="10"/>
  <c r="AE48" i="10" s="1"/>
  <c r="AE50" i="10" s="1"/>
  <c r="V20" i="10"/>
  <c r="V22" i="10" s="1"/>
  <c r="V24" i="10" s="1"/>
  <c r="BU41" i="10"/>
  <c r="BG41" i="10"/>
  <c r="R46" i="10"/>
  <c r="R48" i="10" s="1"/>
  <c r="R50" i="10" s="1"/>
  <c r="G56" i="10"/>
  <c r="BN41" i="10"/>
  <c r="AN29" i="10"/>
  <c r="AN31" i="10" s="1"/>
  <c r="AN33" i="10" s="1"/>
  <c r="G41" i="10"/>
  <c r="BF20" i="10"/>
  <c r="BF22" i="10" s="1"/>
  <c r="BF24" i="10" s="1"/>
  <c r="AM41" i="10"/>
  <c r="V46" i="10"/>
  <c r="V48" i="10" s="1"/>
  <c r="V50" i="10" s="1"/>
  <c r="F46" i="10"/>
  <c r="F48" i="10" s="1"/>
  <c r="F50" i="10" s="1"/>
  <c r="BX56" i="10"/>
  <c r="BR20" i="10"/>
  <c r="BR22" i="10" s="1"/>
  <c r="BR24" i="10" s="1"/>
  <c r="AV29" i="10"/>
  <c r="AV31" i="10" s="1"/>
  <c r="AV33" i="10" s="1"/>
  <c r="AN20" i="10"/>
  <c r="AN22" i="10" s="1"/>
  <c r="AN24" i="10" s="1"/>
  <c r="X20" i="10"/>
  <c r="X22" i="10" s="1"/>
  <c r="X24" i="10" s="1"/>
  <c r="Q20" i="10"/>
  <c r="Q22" i="10" s="1"/>
  <c r="Q24" i="10" s="1"/>
  <c r="G46" i="10"/>
  <c r="G48" i="10" s="1"/>
  <c r="G50" i="10" s="1"/>
  <c r="F41" i="10"/>
  <c r="BU33" i="11"/>
  <c r="BA44" i="11"/>
  <c r="AW44" i="11"/>
  <c r="AR44" i="11"/>
  <c r="AC22" i="11"/>
  <c r="X44" i="11"/>
  <c r="BN41" i="9"/>
  <c r="BQ31" i="9"/>
  <c r="D13" i="15"/>
  <c r="BT46" i="10"/>
  <c r="BT48" i="10" s="1"/>
  <c r="BT50" i="10" s="1"/>
  <c r="BR56" i="10"/>
  <c r="AW56" i="10"/>
  <c r="AG46" i="10"/>
  <c r="AG48" i="10" s="1"/>
  <c r="AG50" i="10" s="1"/>
  <c r="AN56" i="10"/>
  <c r="BR46" i="10"/>
  <c r="BR48" i="10" s="1"/>
  <c r="BR50" i="10" s="1"/>
  <c r="AY20" i="10"/>
  <c r="AY22" i="10" s="1"/>
  <c r="AY24" i="10" s="1"/>
  <c r="AW46" i="10"/>
  <c r="AW48" i="10" s="1"/>
  <c r="AW50" i="10" s="1"/>
  <c r="G29" i="10"/>
  <c r="G31" i="10" s="1"/>
  <c r="G33" i="10" s="1"/>
  <c r="BD22" i="11"/>
  <c r="AY44" i="11"/>
  <c r="AF22" i="11"/>
  <c r="BT29" i="10"/>
  <c r="BT31" i="10" s="1"/>
  <c r="BT33" i="10" s="1"/>
  <c r="BB56" i="10"/>
  <c r="AR41" i="10"/>
  <c r="AN46" i="10"/>
  <c r="AN48" i="10" s="1"/>
  <c r="AN50" i="10" s="1"/>
  <c r="AG20" i="10"/>
  <c r="AG22" i="10" s="1"/>
  <c r="AG24" i="10" s="1"/>
  <c r="AC29" i="10"/>
  <c r="AC31" i="10" s="1"/>
  <c r="AC33" i="10" s="1"/>
  <c r="Q46" i="10"/>
  <c r="Q48" i="10" s="1"/>
  <c r="Q50" i="10" s="1"/>
  <c r="L56" i="10"/>
  <c r="J41" i="10"/>
  <c r="BX33" i="11"/>
  <c r="BR44" i="11"/>
  <c r="O33" i="11"/>
  <c r="AA41" i="9"/>
  <c r="J31" i="9"/>
  <c r="Q41" i="10"/>
  <c r="N56" i="10"/>
  <c r="Y44" i="11"/>
  <c r="X56" i="10"/>
  <c r="BN46" i="10"/>
  <c r="BN48" i="10" s="1"/>
  <c r="BN50" i="10" s="1"/>
  <c r="BB29" i="10"/>
  <c r="BB31" i="10" s="1"/>
  <c r="BB33" i="10" s="1"/>
  <c r="AX41" i="10"/>
  <c r="AR20" i="10"/>
  <c r="AR22" i="10" s="1"/>
  <c r="AR24" i="10" s="1"/>
  <c r="AH46" i="10"/>
  <c r="AH48" i="10" s="1"/>
  <c r="AH50" i="10" s="1"/>
  <c r="AD56" i="10"/>
  <c r="X41" i="10"/>
  <c r="T41" i="10"/>
  <c r="R41" i="10"/>
  <c r="L29" i="10"/>
  <c r="L31" i="10" s="1"/>
  <c r="L33" i="10" s="1"/>
  <c r="J20" i="10"/>
  <c r="J22" i="10" s="1"/>
  <c r="J24" i="10" s="1"/>
  <c r="AS22" i="11"/>
  <c r="Y22" i="11"/>
  <c r="N33" i="11"/>
  <c r="AS31" i="9"/>
  <c r="BV46" i="10"/>
  <c r="BV48" i="10" s="1"/>
  <c r="BV50" i="10" s="1"/>
  <c r="BU56" i="10"/>
  <c r="BM56" i="10"/>
  <c r="BB41" i="10"/>
  <c r="AX46" i="10"/>
  <c r="AX48" i="10" s="1"/>
  <c r="AX50" i="10" s="1"/>
  <c r="AV20" i="10"/>
  <c r="AV22" i="10" s="1"/>
  <c r="AV24" i="10" s="1"/>
  <c r="AM20" i="10"/>
  <c r="AM22" i="10" s="1"/>
  <c r="AM24" i="10" s="1"/>
  <c r="AG29" i="10"/>
  <c r="AG31" i="10" s="1"/>
  <c r="AG33" i="10" s="1"/>
  <c r="AE41" i="10"/>
  <c r="AC20" i="10"/>
  <c r="AC22" i="10" s="1"/>
  <c r="AC24" i="10" s="1"/>
  <c r="V29" i="10"/>
  <c r="V31" i="10" s="1"/>
  <c r="V33" i="10" s="1"/>
  <c r="L41" i="10"/>
  <c r="BV44" i="11"/>
  <c r="BG22" i="11"/>
  <c r="U22" i="11"/>
  <c r="H33" i="11"/>
  <c r="BK46" i="10"/>
  <c r="BK48" i="10" s="1"/>
  <c r="BK50" i="10" s="1"/>
  <c r="BD56" i="10"/>
  <c r="D13" i="16"/>
  <c r="BM41" i="9"/>
  <c r="AZ41" i="9"/>
  <c r="Q41" i="9"/>
  <c r="BP56" i="10"/>
  <c r="BK41" i="10"/>
  <c r="AP46" i="10"/>
  <c r="AP48" i="10" s="1"/>
  <c r="AP50" i="10" s="1"/>
  <c r="AJ46" i="10"/>
  <c r="AJ48" i="10" s="1"/>
  <c r="AJ50" i="10" s="1"/>
  <c r="AI56" i="10"/>
  <c r="AE29" i="10"/>
  <c r="AE31" i="10" s="1"/>
  <c r="AE33" i="10" s="1"/>
  <c r="AD29" i="10"/>
  <c r="AD31" i="10" s="1"/>
  <c r="AD33" i="10" s="1"/>
  <c r="BM33" i="11"/>
  <c r="T44" i="11"/>
  <c r="AG41" i="9"/>
  <c r="BQ46" i="10"/>
  <c r="BQ48" i="10" s="1"/>
  <c r="BQ50" i="10" s="1"/>
  <c r="BP41" i="10"/>
  <c r="BM20" i="10"/>
  <c r="BM22" i="10" s="1"/>
  <c r="BM24" i="10" s="1"/>
  <c r="BD46" i="10"/>
  <c r="BD48" i="10" s="1"/>
  <c r="BD50" i="10" s="1"/>
  <c r="AZ20" i="10"/>
  <c r="AZ22" i="10" s="1"/>
  <c r="AZ24" i="10" s="1"/>
  <c r="AV56" i="10"/>
  <c r="AU46" i="10"/>
  <c r="AU48" i="10" s="1"/>
  <c r="AU50" i="10" s="1"/>
  <c r="AP41" i="10"/>
  <c r="AJ41" i="10"/>
  <c r="AI46" i="10"/>
  <c r="AI48" i="10" s="1"/>
  <c r="AI50" i="10" s="1"/>
  <c r="AE20" i="10"/>
  <c r="AE22" i="10" s="1"/>
  <c r="AE24" i="10" s="1"/>
  <c r="AD20" i="10"/>
  <c r="AD22" i="10" s="1"/>
  <c r="AD24" i="10" s="1"/>
  <c r="BP33" i="11"/>
  <c r="AZ44" i="11"/>
  <c r="AS44" i="11"/>
  <c r="AO44" i="11"/>
  <c r="AF44" i="11"/>
  <c r="T33" i="11"/>
  <c r="BI41" i="9"/>
  <c r="AX41" i="9"/>
  <c r="BQ41" i="10"/>
  <c r="BK29" i="10"/>
  <c r="BK31" i="10" s="1"/>
  <c r="BK33" i="10" s="1"/>
  <c r="BE56" i="10"/>
  <c r="AU41" i="10"/>
  <c r="AQ56" i="10"/>
  <c r="AV44" i="11"/>
  <c r="AB44" i="11"/>
  <c r="BV41" i="9"/>
  <c r="AC41" i="9"/>
  <c r="BK20" i="10"/>
  <c r="BK22" i="10" s="1"/>
  <c r="BK24" i="10" s="1"/>
  <c r="BE46" i="10"/>
  <c r="BE48" i="10" s="1"/>
  <c r="BE50" i="10" s="1"/>
  <c r="BD29" i="10"/>
  <c r="BD31" i="10" s="1"/>
  <c r="BD33" i="10" s="1"/>
  <c r="AV46" i="10"/>
  <c r="AV48" i="10" s="1"/>
  <c r="AV50" i="10" s="1"/>
  <c r="AI29" i="10"/>
  <c r="AI31" i="10" s="1"/>
  <c r="AI33" i="10" s="1"/>
  <c r="AG56" i="10"/>
  <c r="Q56" i="10"/>
  <c r="F56" i="10"/>
  <c r="AV33" i="11"/>
  <c r="D34" i="16" s="1"/>
  <c r="AB33" i="11"/>
  <c r="S44" i="11"/>
  <c r="BT41" i="9"/>
  <c r="AR41" i="9"/>
  <c r="AB41" i="9"/>
  <c r="BP29" i="10"/>
  <c r="BP31" i="10" s="1"/>
  <c r="BP33" i="10" s="1"/>
  <c r="BD20" i="10"/>
  <c r="BD22" i="10" s="1"/>
  <c r="BD24" i="10" s="1"/>
  <c r="AJ20" i="10"/>
  <c r="AJ22" i="10" s="1"/>
  <c r="AJ24" i="10" s="1"/>
  <c r="BW22" i="11"/>
  <c r="BO22" i="11"/>
  <c r="AN44" i="11"/>
  <c r="I44" i="11"/>
  <c r="BZ29" i="10"/>
  <c r="BZ31" i="10" s="1"/>
  <c r="BZ33" i="10" s="1"/>
  <c r="BZ41" i="10"/>
  <c r="BZ46" i="10"/>
  <c r="BZ48" i="10" s="1"/>
  <c r="BZ50" i="10" s="1"/>
  <c r="BZ20" i="10"/>
  <c r="BZ22" i="10" s="1"/>
  <c r="BZ24" i="10" s="1"/>
  <c r="BZ56" i="10"/>
  <c r="AQ41" i="10"/>
  <c r="AQ46" i="10"/>
  <c r="AQ48" i="10" s="1"/>
  <c r="AQ50" i="10" s="1"/>
  <c r="AQ20" i="10"/>
  <c r="AQ22" i="10" s="1"/>
  <c r="AQ24" i="10" s="1"/>
  <c r="I20" i="10"/>
  <c r="I22" i="10" s="1"/>
  <c r="I24" i="10" s="1"/>
  <c r="I29" i="10"/>
  <c r="I31" i="10" s="1"/>
  <c r="I33" i="10" s="1"/>
  <c r="I41" i="10"/>
  <c r="I56" i="10"/>
  <c r="AG33" i="11"/>
  <c r="AG22" i="11"/>
  <c r="AG44" i="11"/>
  <c r="AL20" i="10"/>
  <c r="AL22" i="10" s="1"/>
  <c r="AL24" i="10" s="1"/>
  <c r="AL29" i="10"/>
  <c r="AL31" i="10" s="1"/>
  <c r="AL33" i="10" s="1"/>
  <c r="AL41" i="10"/>
  <c r="AL56" i="10"/>
  <c r="AQ22" i="11"/>
  <c r="AQ33" i="11"/>
  <c r="AQ44" i="11"/>
  <c r="AF41" i="10"/>
  <c r="AF29" i="10"/>
  <c r="AF31" i="10" s="1"/>
  <c r="AF33" i="10" s="1"/>
  <c r="AF46" i="10"/>
  <c r="AF48" i="10" s="1"/>
  <c r="AF50" i="10" s="1"/>
  <c r="AF56" i="10"/>
  <c r="AF20" i="10"/>
  <c r="AF22" i="10" s="1"/>
  <c r="AF24" i="10" s="1"/>
  <c r="N29" i="10"/>
  <c r="N31" i="10" s="1"/>
  <c r="N33" i="10" s="1"/>
  <c r="N41" i="10"/>
  <c r="N20" i="10"/>
  <c r="N22" i="10" s="1"/>
  <c r="N24" i="10" s="1"/>
  <c r="E20" i="10"/>
  <c r="E22" i="10" s="1"/>
  <c r="E24" i="10" s="1"/>
  <c r="E41" i="10"/>
  <c r="E46" i="10"/>
  <c r="E48" i="10" s="1"/>
  <c r="E50" i="10" s="1"/>
  <c r="BE33" i="11"/>
  <c r="BE22" i="11"/>
  <c r="G33" i="11"/>
  <c r="G22" i="11"/>
  <c r="BJ56" i="10"/>
  <c r="AT20" i="10"/>
  <c r="AT22" i="10" s="1"/>
  <c r="AT24" i="10" s="1"/>
  <c r="AT41" i="10"/>
  <c r="AT56" i="10"/>
  <c r="AT29" i="10"/>
  <c r="AT31" i="10" s="1"/>
  <c r="AT33" i="10" s="1"/>
  <c r="AJ22" i="11"/>
  <c r="AJ33" i="11"/>
  <c r="AJ44" i="11"/>
  <c r="BS20" i="10"/>
  <c r="BS22" i="10" s="1"/>
  <c r="BS24" i="10" s="1"/>
  <c r="BS56" i="10"/>
  <c r="BS29" i="10"/>
  <c r="BS31" i="10" s="1"/>
  <c r="BS33" i="10" s="1"/>
  <c r="BS46" i="10"/>
  <c r="BS48" i="10" s="1"/>
  <c r="BS50" i="10" s="1"/>
  <c r="W56" i="10"/>
  <c r="BZ33" i="11"/>
  <c r="BZ22" i="11"/>
  <c r="J33" i="11"/>
  <c r="J22" i="11"/>
  <c r="BJ29" i="10"/>
  <c r="BJ31" i="10" s="1"/>
  <c r="BJ33" i="10" s="1"/>
  <c r="BJ41" i="10"/>
  <c r="BJ20" i="10"/>
  <c r="BJ22" i="10" s="1"/>
  <c r="BJ24" i="10" s="1"/>
  <c r="W20" i="10"/>
  <c r="W22" i="10" s="1"/>
  <c r="W24" i="10" s="1"/>
  <c r="W29" i="10"/>
  <c r="W31" i="10" s="1"/>
  <c r="W33" i="10" s="1"/>
  <c r="W41" i="10"/>
  <c r="Q33" i="11"/>
  <c r="Q44" i="11"/>
  <c r="BS41" i="10"/>
  <c r="M41" i="10"/>
  <c r="M46" i="10"/>
  <c r="M48" i="10" s="1"/>
  <c r="M50" i="10" s="1"/>
  <c r="M20" i="10"/>
  <c r="M22" i="10" s="1"/>
  <c r="M24" i="10" s="1"/>
  <c r="AA22" i="11"/>
  <c r="AA33" i="11"/>
  <c r="AA44" i="11"/>
  <c r="D22" i="11"/>
  <c r="BM41" i="10"/>
  <c r="BE41" i="10"/>
  <c r="AW41" i="10"/>
  <c r="AR46" i="10"/>
  <c r="AR48" i="10" s="1"/>
  <c r="AR50" i="10" s="1"/>
  <c r="AO29" i="10"/>
  <c r="AO31" i="10" s="1"/>
  <c r="AO33" i="10" s="1"/>
  <c r="AI41" i="10"/>
  <c r="J46" i="10"/>
  <c r="J48" i="10" s="1"/>
  <c r="J50" i="10" s="1"/>
  <c r="BU41" i="9"/>
  <c r="BJ31" i="9"/>
  <c r="U31" i="9"/>
  <c r="BX41" i="10"/>
  <c r="BG29" i="10"/>
  <c r="BG31" i="10" s="1"/>
  <c r="BG33" i="10" s="1"/>
  <c r="BE29" i="10"/>
  <c r="BE31" i="10" s="1"/>
  <c r="BE33" i="10" s="1"/>
  <c r="AZ46" i="10"/>
  <c r="AZ48" i="10" s="1"/>
  <c r="AZ50" i="10" s="1"/>
  <c r="AW29" i="10"/>
  <c r="AW31" i="10" s="1"/>
  <c r="AW33" i="10" s="1"/>
  <c r="AO56" i="10"/>
  <c r="AC56" i="10"/>
  <c r="H46" i="10"/>
  <c r="H48" i="10" s="1"/>
  <c r="H50" i="10" s="1"/>
  <c r="D56" i="10"/>
  <c r="BK44" i="11"/>
  <c r="BG44" i="11"/>
  <c r="BD44" i="11"/>
  <c r="BA22" i="11"/>
  <c r="AK33" i="11"/>
  <c r="U44" i="11"/>
  <c r="S33" i="11"/>
  <c r="L44" i="11"/>
  <c r="F33" i="11"/>
  <c r="BF41" i="9"/>
  <c r="BS31" i="9"/>
  <c r="AP31" i="9"/>
  <c r="Y41" i="9"/>
  <c r="BY46" i="10"/>
  <c r="BY48" i="10" s="1"/>
  <c r="BY50" i="10" s="1"/>
  <c r="BG20" i="10"/>
  <c r="BG22" i="10" s="1"/>
  <c r="BG24" i="10" s="1"/>
  <c r="BE24" i="10"/>
  <c r="AZ41" i="10"/>
  <c r="AW24" i="10"/>
  <c r="AO20" i="10"/>
  <c r="AO22" i="10" s="1"/>
  <c r="AO24" i="10" s="1"/>
  <c r="AH20" i="10"/>
  <c r="AH22" i="10" s="1"/>
  <c r="AH24" i="10" s="1"/>
  <c r="X29" i="10"/>
  <c r="X31" i="10" s="1"/>
  <c r="X33" i="10" s="1"/>
  <c r="H41" i="10"/>
  <c r="F29" i="10"/>
  <c r="F31" i="10" s="1"/>
  <c r="F33" i="10" s="1"/>
  <c r="D41" i="10"/>
  <c r="BU44" i="11"/>
  <c r="BN44" i="11"/>
  <c r="BK22" i="11"/>
  <c r="O44" i="11"/>
  <c r="F22" i="11"/>
  <c r="AN41" i="9"/>
  <c r="AF41" i="9"/>
  <c r="M41" i="9"/>
  <c r="BY31" i="9"/>
  <c r="BD31" i="9"/>
  <c r="Z31" i="9"/>
  <c r="T31" i="9"/>
  <c r="L41" i="9"/>
  <c r="BY20" i="10"/>
  <c r="BY22" i="10" s="1"/>
  <c r="BY24" i="10" s="1"/>
  <c r="BG56" i="10"/>
  <c r="AO46" i="10"/>
  <c r="AO48" i="10" s="1"/>
  <c r="AO50" i="10" s="1"/>
  <c r="D29" i="10"/>
  <c r="D31" i="10" s="1"/>
  <c r="BX22" i="11"/>
  <c r="AZ33" i="11"/>
  <c r="AW22" i="11"/>
  <c r="AN22" i="11"/>
  <c r="X22" i="11"/>
  <c r="H22" i="11"/>
  <c r="BC41" i="9"/>
  <c r="AU41" i="9"/>
  <c r="K41" i="9"/>
  <c r="AO31" i="9"/>
  <c r="F24" i="10"/>
  <c r="AV31" i="9"/>
  <c r="D32" i="17" s="1"/>
  <c r="AS20" i="10"/>
  <c r="AS22" i="10" s="1"/>
  <c r="AS24" i="10" s="1"/>
  <c r="AS46" i="10"/>
  <c r="AS48" i="10" s="1"/>
  <c r="AS50" i="10" s="1"/>
  <c r="AS29" i="10"/>
  <c r="AS31" i="10" s="1"/>
  <c r="AS33" i="10" s="1"/>
  <c r="AS56" i="10"/>
  <c r="BT41" i="10"/>
  <c r="BQ24" i="10"/>
  <c r="AP24" i="10"/>
  <c r="AP29" i="10"/>
  <c r="AP31" i="10" s="1"/>
  <c r="AP33" i="10" s="1"/>
  <c r="AP56" i="10"/>
  <c r="Y20" i="10"/>
  <c r="Y22" i="10" s="1"/>
  <c r="Y24" i="10" s="1"/>
  <c r="Y56" i="10"/>
  <c r="Y29" i="10"/>
  <c r="Y31" i="10" s="1"/>
  <c r="Y33" i="10" s="1"/>
  <c r="AU24" i="10"/>
  <c r="BF29" i="10"/>
  <c r="BF31" i="10" s="1"/>
  <c r="BF33" i="10" s="1"/>
  <c r="BF56" i="10"/>
  <c r="AK20" i="10"/>
  <c r="AK22" i="10" s="1"/>
  <c r="AK24" i="10" s="1"/>
  <c r="AK46" i="10"/>
  <c r="AK48" i="10" s="1"/>
  <c r="AK50" i="10" s="1"/>
  <c r="AK29" i="10"/>
  <c r="AK31" i="10" s="1"/>
  <c r="AK33" i="10" s="1"/>
  <c r="AK56" i="10"/>
  <c r="BL29" i="10"/>
  <c r="BL31" i="10" s="1"/>
  <c r="BL33" i="10" s="1"/>
  <c r="BL56" i="10"/>
  <c r="Z29" i="10"/>
  <c r="Z31" i="10" s="1"/>
  <c r="Z33" i="10" s="1"/>
  <c r="Z56" i="10"/>
  <c r="Z20" i="10"/>
  <c r="Z22" i="10" s="1"/>
  <c r="Z24" i="10" s="1"/>
  <c r="BX20" i="10"/>
  <c r="BX22" i="10" s="1"/>
  <c r="BX24" i="10" s="1"/>
  <c r="BX46" i="10"/>
  <c r="BX48" i="10" s="1"/>
  <c r="BX50" i="10" s="1"/>
  <c r="BL46" i="10"/>
  <c r="BL48" i="10" s="1"/>
  <c r="BL50" i="10" s="1"/>
  <c r="AH29" i="10"/>
  <c r="AH31" i="10" s="1"/>
  <c r="AH33" i="10" s="1"/>
  <c r="AH56" i="10"/>
  <c r="AB20" i="10"/>
  <c r="AB22" i="10" s="1"/>
  <c r="AB24" i="10" s="1"/>
  <c r="AB46" i="10"/>
  <c r="AB48" i="10" s="1"/>
  <c r="AB50" i="10" s="1"/>
  <c r="AB29" i="10"/>
  <c r="AB31" i="10" s="1"/>
  <c r="AB33" i="10" s="1"/>
  <c r="AB41" i="10"/>
  <c r="BT24" i="10"/>
  <c r="BL41" i="10"/>
  <c r="BA20" i="10"/>
  <c r="BA22" i="10" s="1"/>
  <c r="BA24" i="10" s="1"/>
  <c r="BA46" i="10"/>
  <c r="BA48" i="10" s="1"/>
  <c r="BA50" i="10" s="1"/>
  <c r="BA29" i="10"/>
  <c r="BA31" i="10" s="1"/>
  <c r="BA33" i="10" s="1"/>
  <c r="BA56" i="10"/>
  <c r="P24" i="10"/>
  <c r="P29" i="10"/>
  <c r="P31" i="10" s="1"/>
  <c r="P33" i="10" s="1"/>
  <c r="P41" i="10"/>
  <c r="P46" i="10"/>
  <c r="P48" i="10" s="1"/>
  <c r="P50" i="10" s="1"/>
  <c r="P56" i="10"/>
  <c r="BY29" i="10"/>
  <c r="BY31" i="10" s="1"/>
  <c r="BY33" i="10" s="1"/>
  <c r="BY56" i="10"/>
  <c r="BW20" i="10"/>
  <c r="BW22" i="10" s="1"/>
  <c r="BW24" i="10" s="1"/>
  <c r="BW46" i="10"/>
  <c r="BW48" i="10" s="1"/>
  <c r="BW50" i="10" s="1"/>
  <c r="BW29" i="10"/>
  <c r="BW31" i="10" s="1"/>
  <c r="BW33" i="10" s="1"/>
  <c r="BW56" i="10"/>
  <c r="AX24" i="10"/>
  <c r="AX29" i="10"/>
  <c r="AX31" i="10" s="1"/>
  <c r="AX33" i="10" s="1"/>
  <c r="AX56" i="10"/>
  <c r="AS41" i="10"/>
  <c r="Y46" i="10"/>
  <c r="Y48" i="10" s="1"/>
  <c r="Y50" i="10" s="1"/>
  <c r="BT56" i="10"/>
  <c r="BO20" i="10"/>
  <c r="BO22" i="10" s="1"/>
  <c r="BO24" i="10" s="1"/>
  <c r="BO46" i="10"/>
  <c r="BO48" i="10" s="1"/>
  <c r="BO50" i="10" s="1"/>
  <c r="BO29" i="10"/>
  <c r="BO31" i="10" s="1"/>
  <c r="BO33" i="10" s="1"/>
  <c r="BO56" i="10"/>
  <c r="BL20" i="10"/>
  <c r="BL22" i="10" s="1"/>
  <c r="BL24" i="10" s="1"/>
  <c r="BF46" i="10"/>
  <c r="BF48" i="10" s="1"/>
  <c r="BF50" i="10" s="1"/>
  <c r="Z46" i="10"/>
  <c r="Z48" i="10" s="1"/>
  <c r="Z50" i="10" s="1"/>
  <c r="Y41" i="10"/>
  <c r="BP24" i="10"/>
  <c r="BB24" i="10"/>
  <c r="R41" i="9"/>
  <c r="R31" i="9"/>
  <c r="S20" i="10"/>
  <c r="S22" i="10" s="1"/>
  <c r="S24" i="10" s="1"/>
  <c r="S46" i="10"/>
  <c r="S48" i="10" s="1"/>
  <c r="S50" i="10" s="1"/>
  <c r="S29" i="10"/>
  <c r="S31" i="10" s="1"/>
  <c r="S33" i="10" s="1"/>
  <c r="S56" i="10"/>
  <c r="K20" i="10"/>
  <c r="K22" i="10" s="1"/>
  <c r="K24" i="10" s="1"/>
  <c r="K46" i="10"/>
  <c r="K48" i="10" s="1"/>
  <c r="K50" i="10" s="1"/>
  <c r="K29" i="10"/>
  <c r="K31" i="10" s="1"/>
  <c r="K33" i="10" s="1"/>
  <c r="K56" i="10"/>
  <c r="BP46" i="10"/>
  <c r="BP48" i="10" s="1"/>
  <c r="BP50" i="10" s="1"/>
  <c r="BB46" i="10"/>
  <c r="BB48" i="10" s="1"/>
  <c r="BB50" i="10" s="1"/>
  <c r="AT46" i="10"/>
  <c r="AT48" i="10" s="1"/>
  <c r="AT50" i="10" s="1"/>
  <c r="AL46" i="10"/>
  <c r="AL48" i="10" s="1"/>
  <c r="AL50" i="10" s="1"/>
  <c r="AC46" i="10"/>
  <c r="AC48" i="10" s="1"/>
  <c r="AC50" i="10" s="1"/>
  <c r="T20" i="10"/>
  <c r="T22" i="10" s="1"/>
  <c r="T24" i="10" s="1"/>
  <c r="T46" i="10"/>
  <c r="T48" i="10" s="1"/>
  <c r="T50" i="10" s="1"/>
  <c r="H24" i="10"/>
  <c r="H29" i="10"/>
  <c r="H31" i="10" s="1"/>
  <c r="H33" i="10" s="1"/>
  <c r="H56" i="10"/>
  <c r="BL44" i="11"/>
  <c r="BL22" i="11"/>
  <c r="BL33" i="11"/>
  <c r="BI22" i="11"/>
  <c r="BI44" i="11"/>
  <c r="BI33" i="11"/>
  <c r="AU22" i="11"/>
  <c r="AU33" i="11"/>
  <c r="AU44" i="11"/>
  <c r="AD33" i="11"/>
  <c r="AD44" i="11"/>
  <c r="AD22" i="11"/>
  <c r="M22" i="11"/>
  <c r="M33" i="11"/>
  <c r="M44" i="11"/>
  <c r="BS22" i="11"/>
  <c r="BS33" i="11"/>
  <c r="BS44" i="11"/>
  <c r="AL33" i="11"/>
  <c r="AL44" i="11"/>
  <c r="BQ56" i="10"/>
  <c r="BQ29" i="10"/>
  <c r="BQ31" i="10" s="1"/>
  <c r="BQ33" i="10" s="1"/>
  <c r="BI56" i="10"/>
  <c r="BC56" i="10"/>
  <c r="BC29" i="10"/>
  <c r="BC31" i="10" s="1"/>
  <c r="BC33" i="10" s="1"/>
  <c r="AU56" i="10"/>
  <c r="AU29" i="10"/>
  <c r="AU31" i="10" s="1"/>
  <c r="AU33" i="10" s="1"/>
  <c r="AM56" i="10"/>
  <c r="AM29" i="10"/>
  <c r="AM31" i="10" s="1"/>
  <c r="AM33" i="10" s="1"/>
  <c r="BB33" i="11"/>
  <c r="BB44" i="11"/>
  <c r="BV56" i="10"/>
  <c r="BN56" i="10"/>
  <c r="AZ56" i="10"/>
  <c r="AR56" i="10"/>
  <c r="AJ56" i="10"/>
  <c r="AA20" i="10"/>
  <c r="AA22" i="10" s="1"/>
  <c r="AA24" i="10" s="1"/>
  <c r="AA46" i="10"/>
  <c r="AA48" i="10" s="1"/>
  <c r="AA50" i="10" s="1"/>
  <c r="AA29" i="10"/>
  <c r="AA31" i="10" s="1"/>
  <c r="AA33" i="10" s="1"/>
  <c r="AA56" i="10"/>
  <c r="T56" i="10"/>
  <c r="L24" i="10"/>
  <c r="D24" i="10"/>
  <c r="BT44" i="11"/>
  <c r="BT22" i="11"/>
  <c r="BT33" i="11"/>
  <c r="AW41" i="9"/>
  <c r="AW31" i="9"/>
  <c r="AT33" i="11"/>
  <c r="AT44" i="11"/>
  <c r="L46" i="10"/>
  <c r="L48" i="10" s="1"/>
  <c r="L50" i="10" s="1"/>
  <c r="D46" i="10"/>
  <c r="D48" i="10" s="1"/>
  <c r="D50" i="10" s="1"/>
  <c r="BZ44" i="11"/>
  <c r="BV33" i="11"/>
  <c r="BQ22" i="11"/>
  <c r="BQ44" i="11"/>
  <c r="BN33" i="11"/>
  <c r="AX44" i="11"/>
  <c r="AX22" i="11"/>
  <c r="AX33" i="11"/>
  <c r="W22" i="11"/>
  <c r="W33" i="11"/>
  <c r="W44" i="11"/>
  <c r="BC22" i="11"/>
  <c r="BC44" i="11"/>
  <c r="AE22" i="11"/>
  <c r="AE33" i="11"/>
  <c r="AE44" i="11"/>
  <c r="U56" i="10"/>
  <c r="U29" i="10"/>
  <c r="U31" i="10" s="1"/>
  <c r="U33" i="10" s="1"/>
  <c r="M56" i="10"/>
  <c r="M29" i="10"/>
  <c r="M31" i="10" s="1"/>
  <c r="M33" i="10" s="1"/>
  <c r="E56" i="10"/>
  <c r="E29" i="10"/>
  <c r="E31" i="10" s="1"/>
  <c r="E33" i="10" s="1"/>
  <c r="AM22" i="11"/>
  <c r="AM33" i="11"/>
  <c r="AM44" i="11"/>
  <c r="F31" i="9"/>
  <c r="F41" i="9"/>
  <c r="R56" i="10"/>
  <c r="J56" i="10"/>
  <c r="BF44" i="11"/>
  <c r="BF22" i="11"/>
  <c r="BF33" i="11"/>
  <c r="V33" i="11"/>
  <c r="V44" i="11"/>
  <c r="AP33" i="11"/>
  <c r="AH33" i="11"/>
  <c r="Z33" i="11"/>
  <c r="R33" i="11"/>
  <c r="J44" i="11"/>
  <c r="E44" i="11"/>
  <c r="BO31" i="9"/>
  <c r="BO41" i="9"/>
  <c r="BW44" i="11"/>
  <c r="BO44" i="11"/>
  <c r="AP22" i="11"/>
  <c r="AH22" i="11"/>
  <c r="Z22" i="11"/>
  <c r="R22" i="11"/>
  <c r="Q22" i="11"/>
  <c r="I22" i="11"/>
  <c r="E33" i="11"/>
  <c r="BX31" i="9"/>
  <c r="BX41" i="9"/>
  <c r="AL31" i="9"/>
  <c r="AL41" i="9"/>
  <c r="BA31" i="9"/>
  <c r="BA41" i="9"/>
  <c r="BK41" i="9"/>
  <c r="BK31" i="9"/>
  <c r="V31" i="9"/>
  <c r="V41" i="9"/>
  <c r="K22" i="11"/>
  <c r="K33" i="11"/>
  <c r="AH41" i="9"/>
  <c r="AH31" i="9"/>
  <c r="D31" i="9"/>
  <c r="D41" i="9"/>
  <c r="BW31" i="9"/>
  <c r="BW41" i="9"/>
  <c r="BE31" i="9"/>
  <c r="AE41" i="9"/>
  <c r="AE31" i="9"/>
  <c r="O41" i="9"/>
  <c r="O31" i="9"/>
  <c r="BR31" i="9"/>
  <c r="AD31" i="9"/>
  <c r="AD41" i="9"/>
  <c r="N31" i="9"/>
  <c r="N41" i="9"/>
  <c r="AM41" i="9"/>
  <c r="AM31" i="9"/>
  <c r="W41" i="9"/>
  <c r="W31" i="9"/>
  <c r="G41" i="9"/>
  <c r="G31" i="9"/>
  <c r="D33" i="16"/>
  <c r="C19" i="18"/>
  <c r="D20" i="15"/>
  <c r="D40" i="15"/>
  <c r="D44" i="16"/>
  <c r="D46" i="15"/>
  <c r="C13" i="18"/>
  <c r="D22" i="16"/>
  <c r="C14" i="18"/>
  <c r="D14" i="13"/>
  <c r="D38" i="15"/>
  <c r="D29" i="15"/>
  <c r="C16" i="18"/>
  <c r="C22" i="11" l="1"/>
  <c r="C33" i="11"/>
  <c r="D35" i="11" s="1"/>
  <c r="D52" i="11" s="1"/>
  <c r="C40" i="13"/>
  <c r="C35" i="1"/>
  <c r="C22" i="9"/>
  <c r="C59" i="13"/>
  <c r="BH43" i="9"/>
  <c r="BH58" i="9" s="1"/>
  <c r="C23" i="16"/>
  <c r="BH24" i="11"/>
  <c r="BH51" i="11" s="1"/>
  <c r="I35" i="11"/>
  <c r="I52" i="11" s="1"/>
  <c r="BH35" i="11"/>
  <c r="BH52" i="11" s="1"/>
  <c r="C44" i="11"/>
  <c r="BW46" i="11" s="1"/>
  <c r="BW53" i="11" s="1"/>
  <c r="C100" i="13"/>
  <c r="C64" i="1"/>
  <c r="BH72" i="1" s="1"/>
  <c r="BH129" i="1" s="1"/>
  <c r="C49" i="13"/>
  <c r="AL43" i="9"/>
  <c r="AL58" i="9" s="1"/>
  <c r="Z43" i="9"/>
  <c r="Z58" i="9" s="1"/>
  <c r="AG43" i="9"/>
  <c r="BT43" i="9"/>
  <c r="BT58" i="9" s="1"/>
  <c r="M43" i="9"/>
  <c r="M58" i="9" s="1"/>
  <c r="R43" i="9"/>
  <c r="R58" i="9" s="1"/>
  <c r="C120" i="1"/>
  <c r="C121" i="13" s="1"/>
  <c r="BB43" i="9"/>
  <c r="BB58" i="9" s="1"/>
  <c r="C135" i="1"/>
  <c r="C136" i="13" s="1"/>
  <c r="C134" i="1"/>
  <c r="C135" i="13" s="1"/>
  <c r="AD35" i="9"/>
  <c r="AZ35" i="9"/>
  <c r="BY35" i="9"/>
  <c r="BY57" i="9" s="1"/>
  <c r="AQ35" i="9"/>
  <c r="AQ57" i="9" s="1"/>
  <c r="P35" i="9"/>
  <c r="P57" i="9" s="1"/>
  <c r="BI43" i="1"/>
  <c r="BI118" i="1" s="1"/>
  <c r="AD43" i="9"/>
  <c r="AD58" i="9" s="1"/>
  <c r="D43" i="9"/>
  <c r="D58" i="9" s="1"/>
  <c r="V43" i="9"/>
  <c r="V58" i="9" s="1"/>
  <c r="AW43" i="9"/>
  <c r="AW58" i="9" s="1"/>
  <c r="AF43" i="9"/>
  <c r="AF58" i="9" s="1"/>
  <c r="U43" i="9"/>
  <c r="U58" i="9" s="1"/>
  <c r="Q43" i="9"/>
  <c r="Q58" i="9" s="1"/>
  <c r="AM43" i="9"/>
  <c r="AM58" i="9" s="1"/>
  <c r="Y43" i="9"/>
  <c r="Y58" i="9" s="1"/>
  <c r="O43" i="9"/>
  <c r="O58" i="9" s="1"/>
  <c r="AS43" i="9"/>
  <c r="AS58" i="9" s="1"/>
  <c r="K43" i="9"/>
  <c r="K58" i="9" s="1"/>
  <c r="AY43" i="9"/>
  <c r="AY58" i="9" s="1"/>
  <c r="AE43" i="9"/>
  <c r="AE58" i="9" s="1"/>
  <c r="BK43" i="9"/>
  <c r="BK58" i="9" s="1"/>
  <c r="BX43" i="9"/>
  <c r="BX58" i="9" s="1"/>
  <c r="BQ43" i="9"/>
  <c r="BQ58" i="9" s="1"/>
  <c r="BJ43" i="9"/>
  <c r="BJ58" i="9" s="1"/>
  <c r="BS43" i="9"/>
  <c r="BS58" i="9" s="1"/>
  <c r="AJ43" i="9"/>
  <c r="AJ58" i="9" s="1"/>
  <c r="L43" i="9"/>
  <c r="L58" i="9" s="1"/>
  <c r="AN43" i="9"/>
  <c r="AN58" i="9" s="1"/>
  <c r="S43" i="9"/>
  <c r="S58" i="9" s="1"/>
  <c r="G43" i="9"/>
  <c r="G58" i="9" s="1"/>
  <c r="J43" i="9"/>
  <c r="J58" i="9" s="1"/>
  <c r="BA43" i="9"/>
  <c r="BA58" i="9" s="1"/>
  <c r="BO43" i="9"/>
  <c r="BO58" i="9" s="1"/>
  <c r="AU43" i="9"/>
  <c r="AU58" i="9" s="1"/>
  <c r="BU43" i="9"/>
  <c r="BU58" i="9" s="1"/>
  <c r="AX43" i="9"/>
  <c r="AX58" i="9" s="1"/>
  <c r="AI43" i="9"/>
  <c r="AI58" i="9" s="1"/>
  <c r="N43" i="9"/>
  <c r="N58" i="9" s="1"/>
  <c r="AH43" i="9"/>
  <c r="AH58" i="9" s="1"/>
  <c r="BC43" i="9"/>
  <c r="BC58" i="9" s="1"/>
  <c r="AP43" i="9"/>
  <c r="AP58" i="9" s="1"/>
  <c r="AB43" i="9"/>
  <c r="AB58" i="9" s="1"/>
  <c r="BI43" i="9"/>
  <c r="BI58" i="9" s="1"/>
  <c r="BZ43" i="9"/>
  <c r="BZ58" i="9" s="1"/>
  <c r="W43" i="9"/>
  <c r="W58" i="9" s="1"/>
  <c r="BW43" i="9"/>
  <c r="BW58" i="9" s="1"/>
  <c r="F43" i="9"/>
  <c r="F58" i="9" s="1"/>
  <c r="BF43" i="9"/>
  <c r="BF58" i="9" s="1"/>
  <c r="BE43" i="9"/>
  <c r="BE58" i="9" s="1"/>
  <c r="BM43" i="9"/>
  <c r="BM58" i="9" s="1"/>
  <c r="BP43" i="9"/>
  <c r="BP58" i="9" s="1"/>
  <c r="H43" i="9"/>
  <c r="H58" i="9" s="1"/>
  <c r="AA43" i="9"/>
  <c r="AA58" i="9" s="1"/>
  <c r="D45" i="16"/>
  <c r="C117" i="1"/>
  <c r="C118" i="13" s="1"/>
  <c r="C27" i="13"/>
  <c r="D42" i="15"/>
  <c r="AR43" i="9"/>
  <c r="AR58" i="9" s="1"/>
  <c r="AO43" i="9"/>
  <c r="AO58" i="9" s="1"/>
  <c r="I43" i="9"/>
  <c r="I58" i="9" s="1"/>
  <c r="AV43" i="9"/>
  <c r="BR43" i="9"/>
  <c r="BR58" i="9" s="1"/>
  <c r="D57" i="15"/>
  <c r="AT43" i="9"/>
  <c r="AT58" i="9" s="1"/>
  <c r="X43" i="9"/>
  <c r="X58" i="9" s="1"/>
  <c r="D51" i="15"/>
  <c r="BY43" i="9"/>
  <c r="BY58" i="9" s="1"/>
  <c r="AZ43" i="9"/>
  <c r="AZ58" i="9" s="1"/>
  <c r="AY58" i="10"/>
  <c r="AY70" i="10" s="1"/>
  <c r="AC43" i="9"/>
  <c r="AC58" i="9" s="1"/>
  <c r="D23" i="16"/>
  <c r="BV43" i="9"/>
  <c r="BV58" i="9" s="1"/>
  <c r="P43" i="9"/>
  <c r="P58" i="9" s="1"/>
  <c r="E43" i="9"/>
  <c r="E58" i="9" s="1"/>
  <c r="BL43" i="9"/>
  <c r="BL58" i="9" s="1"/>
  <c r="AY35" i="9"/>
  <c r="AV35" i="9"/>
  <c r="BB35" i="9"/>
  <c r="BB57" i="9" s="1"/>
  <c r="BK35" i="9"/>
  <c r="BK57" i="9" s="1"/>
  <c r="AJ35" i="9"/>
  <c r="AJ57" i="9" s="1"/>
  <c r="J35" i="9"/>
  <c r="J57" i="9" s="1"/>
  <c r="AN35" i="9"/>
  <c r="AN57" i="9" s="1"/>
  <c r="W35" i="9"/>
  <c r="W57" i="9" s="1"/>
  <c r="AX35" i="9"/>
  <c r="T35" i="9"/>
  <c r="T57" i="9" s="1"/>
  <c r="U35" i="9"/>
  <c r="BR35" i="9"/>
  <c r="BR57" i="9" s="1"/>
  <c r="BF35" i="9"/>
  <c r="BF57" i="9" s="1"/>
  <c r="Q35" i="9"/>
  <c r="Q57" i="9" s="1"/>
  <c r="BE35" i="9"/>
  <c r="D35" i="9"/>
  <c r="AP35" i="9"/>
  <c r="AP57" i="9" s="1"/>
  <c r="AI35" i="9"/>
  <c r="AI57" i="9" s="1"/>
  <c r="AQ43" i="9"/>
  <c r="AQ58" i="9" s="1"/>
  <c r="D23" i="15"/>
  <c r="D25" i="15"/>
  <c r="D21" i="15"/>
  <c r="C93" i="13"/>
  <c r="C86" i="1"/>
  <c r="BH94" i="1" s="1"/>
  <c r="BH132" i="1" s="1"/>
  <c r="C91" i="13"/>
  <c r="C84" i="13"/>
  <c r="C131" i="1"/>
  <c r="C132" i="13" s="1"/>
  <c r="C130" i="1"/>
  <c r="C131" i="13" s="1"/>
  <c r="C78" i="13"/>
  <c r="C69" i="13"/>
  <c r="C71" i="13"/>
  <c r="C72" i="1"/>
  <c r="C42" i="13"/>
  <c r="C18" i="13"/>
  <c r="C19" i="1"/>
  <c r="AK43" i="9"/>
  <c r="AK58" i="9" s="1"/>
  <c r="T43" i="9"/>
  <c r="T58" i="9" s="1"/>
  <c r="BG43" i="9"/>
  <c r="BG58" i="9" s="1"/>
  <c r="BN43" i="9"/>
  <c r="BN58" i="9" s="1"/>
  <c r="BD43" i="9"/>
  <c r="BD58" i="9" s="1"/>
  <c r="L24" i="11"/>
  <c r="L51" i="11" s="1"/>
  <c r="AV24" i="11"/>
  <c r="AV51" i="11" s="1"/>
  <c r="AO24" i="11"/>
  <c r="AO51" i="11" s="1"/>
  <c r="AP24" i="11"/>
  <c r="AP51" i="11" s="1"/>
  <c r="BB24" i="11"/>
  <c r="BB51" i="11" s="1"/>
  <c r="BA24" i="11"/>
  <c r="BA51" i="11" s="1"/>
  <c r="AR58" i="10"/>
  <c r="AR70" i="10" s="1"/>
  <c r="V58" i="10"/>
  <c r="V70" i="10" s="1"/>
  <c r="O58" i="10"/>
  <c r="O70" i="10" s="1"/>
  <c r="BE58" i="10"/>
  <c r="BE70" i="10" s="1"/>
  <c r="BJ58" i="10"/>
  <c r="BJ70" i="10" s="1"/>
  <c r="R58" i="10"/>
  <c r="BU58" i="10"/>
  <c r="BN58" i="10"/>
  <c r="BN70" i="10" s="1"/>
  <c r="BV58" i="10"/>
  <c r="BV70" i="10" s="1"/>
  <c r="BG58" i="10"/>
  <c r="AI58" i="10"/>
  <c r="AN58" i="10"/>
  <c r="AN70" i="10" s="1"/>
  <c r="AG58" i="10"/>
  <c r="AG70" i="10" s="1"/>
  <c r="BR58" i="10"/>
  <c r="AE58" i="10"/>
  <c r="AE70" i="10" s="1"/>
  <c r="G58" i="10"/>
  <c r="G70" i="10" s="1"/>
  <c r="Q58" i="10"/>
  <c r="Q70" i="10" s="1"/>
  <c r="AD58" i="10"/>
  <c r="AW58" i="10"/>
  <c r="AW70" i="10" s="1"/>
  <c r="AT58" i="10"/>
  <c r="F58" i="10"/>
  <c r="BS58" i="10"/>
  <c r="BS70" i="10" s="1"/>
  <c r="X58" i="10"/>
  <c r="X70" i="10" s="1"/>
  <c r="BK58" i="10"/>
  <c r="BK70" i="10" s="1"/>
  <c r="AV58" i="10"/>
  <c r="J58" i="10"/>
  <c r="J70" i="10" s="1"/>
  <c r="T58" i="10"/>
  <c r="T70" i="10" s="1"/>
  <c r="AF58" i="10"/>
  <c r="AF70" i="10" s="1"/>
  <c r="AG58" i="9"/>
  <c r="BD58" i="10"/>
  <c r="Y58" i="10"/>
  <c r="Y70" i="10" s="1"/>
  <c r="AH58" i="10"/>
  <c r="AH70" i="10" s="1"/>
  <c r="AX58" i="10"/>
  <c r="AX70" i="10" s="1"/>
  <c r="W58" i="10"/>
  <c r="W70" i="10" s="1"/>
  <c r="J24" i="11"/>
  <c r="J51" i="11" s="1"/>
  <c r="AJ58" i="10"/>
  <c r="AJ70" i="10" s="1"/>
  <c r="X24" i="11"/>
  <c r="X51" i="11" s="1"/>
  <c r="R24" i="11"/>
  <c r="R51" i="11" s="1"/>
  <c r="BM58" i="10"/>
  <c r="BM70" i="10" s="1"/>
  <c r="N58" i="10"/>
  <c r="N70" i="10" s="1"/>
  <c r="AZ58" i="10"/>
  <c r="AZ70" i="10" s="1"/>
  <c r="AH24" i="11"/>
  <c r="AH51" i="11" s="1"/>
  <c r="AH35" i="11"/>
  <c r="AH52" i="11" s="1"/>
  <c r="P35" i="11"/>
  <c r="P52" i="11" s="1"/>
  <c r="H58" i="10"/>
  <c r="H70" i="10" s="1"/>
  <c r="AJ35" i="11"/>
  <c r="AJ52" i="11" s="1"/>
  <c r="E35" i="11"/>
  <c r="E52" i="11" s="1"/>
  <c r="AQ24" i="11"/>
  <c r="AQ51" i="11" s="1"/>
  <c r="AB35" i="11"/>
  <c r="AB52" i="11" s="1"/>
  <c r="E24" i="11"/>
  <c r="E51" i="11" s="1"/>
  <c r="BW58" i="10"/>
  <c r="AO58" i="10"/>
  <c r="D33" i="10"/>
  <c r="D34" i="15" s="1"/>
  <c r="D32" i="15"/>
  <c r="AO35" i="11"/>
  <c r="AO52" i="11" s="1"/>
  <c r="M58" i="10"/>
  <c r="M70" i="10" s="1"/>
  <c r="BX24" i="11"/>
  <c r="BX51" i="11" s="1"/>
  <c r="AC58" i="10"/>
  <c r="AU58" i="10"/>
  <c r="AU70" i="10" s="1"/>
  <c r="AS35" i="11"/>
  <c r="AS52" i="11" s="1"/>
  <c r="L58" i="10"/>
  <c r="L70" i="10" s="1"/>
  <c r="E58" i="10"/>
  <c r="F35" i="11"/>
  <c r="F52" i="11" s="1"/>
  <c r="D30" i="15"/>
  <c r="BF35" i="11"/>
  <c r="BF52" i="11" s="1"/>
  <c r="AG35" i="11"/>
  <c r="AG52" i="11" s="1"/>
  <c r="AD35" i="11"/>
  <c r="AD52" i="11" s="1"/>
  <c r="K58" i="10"/>
  <c r="K70" i="10" s="1"/>
  <c r="BY58" i="10"/>
  <c r="BY70" i="10" s="1"/>
  <c r="BX58" i="10"/>
  <c r="BX70" i="10" s="1"/>
  <c r="I58" i="10"/>
  <c r="K35" i="11"/>
  <c r="K52" i="11" s="1"/>
  <c r="T35" i="11"/>
  <c r="T52" i="11" s="1"/>
  <c r="BW35" i="11"/>
  <c r="BW52" i="11" s="1"/>
  <c r="BT58" i="10"/>
  <c r="BT70" i="10" s="1"/>
  <c r="Z58" i="10"/>
  <c r="Z70" i="10" s="1"/>
  <c r="BZ58" i="10"/>
  <c r="D49" i="15"/>
  <c r="D47" i="15"/>
  <c r="R35" i="11"/>
  <c r="R52" i="11" s="1"/>
  <c r="AX24" i="11"/>
  <c r="AX51" i="11" s="1"/>
  <c r="AL58" i="10"/>
  <c r="BL58" i="10"/>
  <c r="BL70" i="10" s="1"/>
  <c r="AQ58" i="10"/>
  <c r="C34" i="16"/>
  <c r="G35" i="11"/>
  <c r="G52" i="11" s="1"/>
  <c r="N35" i="11"/>
  <c r="N52" i="11" s="1"/>
  <c r="U35" i="11"/>
  <c r="U52" i="11" s="1"/>
  <c r="AC35" i="11"/>
  <c r="AC52" i="11" s="1"/>
  <c r="AK35" i="11"/>
  <c r="AK52" i="11" s="1"/>
  <c r="L35" i="11"/>
  <c r="L52" i="11" s="1"/>
  <c r="AV35" i="11"/>
  <c r="AV52" i="11" s="1"/>
  <c r="BD35" i="11"/>
  <c r="BD52" i="11" s="1"/>
  <c r="BJ35" i="11"/>
  <c r="BJ52" i="11" s="1"/>
  <c r="AQ35" i="11"/>
  <c r="AQ52" i="11" s="1"/>
  <c r="AY35" i="11"/>
  <c r="AY52" i="11" s="1"/>
  <c r="AA35" i="11"/>
  <c r="AA52" i="11" s="1"/>
  <c r="BR35" i="11"/>
  <c r="BR52" i="11" s="1"/>
  <c r="S35" i="11"/>
  <c r="S52" i="11" s="1"/>
  <c r="BM35" i="11"/>
  <c r="BM52" i="11" s="1"/>
  <c r="BU35" i="11"/>
  <c r="BU52" i="11" s="1"/>
  <c r="AY24" i="11"/>
  <c r="AY51" i="11" s="1"/>
  <c r="Z35" i="11"/>
  <c r="Z52" i="11" s="1"/>
  <c r="J35" i="11"/>
  <c r="J52" i="11" s="1"/>
  <c r="AR24" i="11"/>
  <c r="AR51" i="11" s="1"/>
  <c r="BU24" i="11"/>
  <c r="BU51" i="11" s="1"/>
  <c r="AF35" i="11"/>
  <c r="AF52" i="11" s="1"/>
  <c r="BQ35" i="11"/>
  <c r="BQ52" i="11" s="1"/>
  <c r="BZ24" i="11"/>
  <c r="BZ51" i="11" s="1"/>
  <c r="AR35" i="11"/>
  <c r="AR52" i="11" s="1"/>
  <c r="BI24" i="11"/>
  <c r="BI51" i="11" s="1"/>
  <c r="BO58" i="10"/>
  <c r="P58" i="10"/>
  <c r="BA58" i="10"/>
  <c r="AB58" i="10"/>
  <c r="BI58" i="10"/>
  <c r="AK58" i="10"/>
  <c r="D24" i="11"/>
  <c r="D51" i="11" s="1"/>
  <c r="BG24" i="11"/>
  <c r="BG51" i="11" s="1"/>
  <c r="AM35" i="11"/>
  <c r="AM52" i="11" s="1"/>
  <c r="Y35" i="11"/>
  <c r="Y52" i="11" s="1"/>
  <c r="BC24" i="11"/>
  <c r="BC51" i="11" s="1"/>
  <c r="BT35" i="11"/>
  <c r="BT52" i="11" s="1"/>
  <c r="AI35" i="11"/>
  <c r="AI52" i="11" s="1"/>
  <c r="O35" i="11"/>
  <c r="O52" i="11" s="1"/>
  <c r="BS35" i="11"/>
  <c r="BS52" i="11" s="1"/>
  <c r="BL35" i="11"/>
  <c r="BL52" i="11" s="1"/>
  <c r="AZ35" i="11"/>
  <c r="AZ52" i="11" s="1"/>
  <c r="BB58" i="10"/>
  <c r="X35" i="11"/>
  <c r="X52" i="11" s="1"/>
  <c r="AF24" i="11"/>
  <c r="AF51" i="11" s="1"/>
  <c r="Y24" i="11"/>
  <c r="Y51" i="11" s="1"/>
  <c r="I24" i="11"/>
  <c r="I51" i="11" s="1"/>
  <c r="H24" i="11"/>
  <c r="H51" i="11" s="1"/>
  <c r="BM24" i="11"/>
  <c r="BM51" i="11" s="1"/>
  <c r="AP35" i="11"/>
  <c r="AP52" i="11" s="1"/>
  <c r="BF24" i="11"/>
  <c r="BF51" i="11" s="1"/>
  <c r="G24" i="11"/>
  <c r="G51" i="11" s="1"/>
  <c r="AM24" i="11"/>
  <c r="AM51" i="11" s="1"/>
  <c r="W35" i="11"/>
  <c r="W52" i="11" s="1"/>
  <c r="O24" i="11"/>
  <c r="O51" i="11" s="1"/>
  <c r="AT35" i="11"/>
  <c r="AT52" i="11" s="1"/>
  <c r="AJ24" i="11"/>
  <c r="AJ51" i="11" s="1"/>
  <c r="BT24" i="11"/>
  <c r="BT51" i="11" s="1"/>
  <c r="BP24" i="11"/>
  <c r="BP51" i="11" s="1"/>
  <c r="AA58" i="10"/>
  <c r="AW35" i="11"/>
  <c r="AW52" i="11" s="1"/>
  <c r="BS24" i="11"/>
  <c r="BS51" i="11" s="1"/>
  <c r="M35" i="11"/>
  <c r="M52" i="11" s="1"/>
  <c r="AU35" i="11"/>
  <c r="AU52" i="11" s="1"/>
  <c r="BL24" i="11"/>
  <c r="BL51" i="11" s="1"/>
  <c r="S58" i="10"/>
  <c r="BC58" i="10"/>
  <c r="AS24" i="11"/>
  <c r="AS51" i="11" s="1"/>
  <c r="F24" i="11"/>
  <c r="F51" i="11" s="1"/>
  <c r="AN24" i="11"/>
  <c r="AN51" i="11" s="1"/>
  <c r="AG24" i="11"/>
  <c r="AG51" i="11" s="1"/>
  <c r="Q24" i="11"/>
  <c r="Q51" i="11" s="1"/>
  <c r="P24" i="11"/>
  <c r="P51" i="11" s="1"/>
  <c r="V35" i="11"/>
  <c r="V52" i="11" s="1"/>
  <c r="N24" i="11"/>
  <c r="N51" i="11" s="1"/>
  <c r="BA35" i="11"/>
  <c r="BA52" i="11" s="1"/>
  <c r="AE35" i="11"/>
  <c r="AE52" i="11" s="1"/>
  <c r="BK24" i="11"/>
  <c r="BK51" i="11" s="1"/>
  <c r="W24" i="11"/>
  <c r="W51" i="11" s="1"/>
  <c r="BN35" i="11"/>
  <c r="BN52" i="11" s="1"/>
  <c r="Q35" i="11"/>
  <c r="Q52" i="11" s="1"/>
  <c r="BE35" i="11"/>
  <c r="BE52" i="11" s="1"/>
  <c r="AT24" i="11"/>
  <c r="AT51" i="11" s="1"/>
  <c r="M24" i="11"/>
  <c r="M51" i="11" s="1"/>
  <c r="AU24" i="11"/>
  <c r="AU51" i="11" s="1"/>
  <c r="U58" i="10"/>
  <c r="T24" i="11"/>
  <c r="T51" i="11" s="1"/>
  <c r="BP58" i="10"/>
  <c r="AP58" i="10"/>
  <c r="AS58" i="10"/>
  <c r="S24" i="11"/>
  <c r="S51" i="11" s="1"/>
  <c r="BO24" i="11"/>
  <c r="BO51" i="11" s="1"/>
  <c r="BK35" i="11"/>
  <c r="BK52" i="11" s="1"/>
  <c r="AE24" i="11"/>
  <c r="AE51" i="11" s="1"/>
  <c r="BR24" i="11"/>
  <c r="BR51" i="11" s="1"/>
  <c r="AC24" i="11"/>
  <c r="AC51" i="11" s="1"/>
  <c r="U24" i="11"/>
  <c r="U51" i="11" s="1"/>
  <c r="AZ24" i="11"/>
  <c r="AZ51" i="11" s="1"/>
  <c r="BV46" i="11"/>
  <c r="BV53" i="11" s="1"/>
  <c r="BZ35" i="11"/>
  <c r="BZ52" i="11" s="1"/>
  <c r="BB35" i="11"/>
  <c r="BB52" i="11" s="1"/>
  <c r="BX35" i="11"/>
  <c r="BX52" i="11" s="1"/>
  <c r="AB24" i="11"/>
  <c r="AB51" i="11" s="1"/>
  <c r="BC35" i="11"/>
  <c r="BC52" i="11" s="1"/>
  <c r="BY35" i="11"/>
  <c r="BY52" i="11" s="1"/>
  <c r="AM58" i="10"/>
  <c r="BG35" i="11"/>
  <c r="BG52" i="11" s="1"/>
  <c r="K24" i="11"/>
  <c r="K51" i="11" s="1"/>
  <c r="BD24" i="11"/>
  <c r="BD51" i="11" s="1"/>
  <c r="AW24" i="11"/>
  <c r="AW51" i="11" s="1"/>
  <c r="Z24" i="11"/>
  <c r="Z51" i="11" s="1"/>
  <c r="AA24" i="11"/>
  <c r="AA51" i="11" s="1"/>
  <c r="BW24" i="11"/>
  <c r="BW51" i="11" s="1"/>
  <c r="V24" i="11"/>
  <c r="V51" i="11" s="1"/>
  <c r="BN24" i="11"/>
  <c r="BN51" i="11" s="1"/>
  <c r="AK24" i="11"/>
  <c r="AK51" i="11" s="1"/>
  <c r="BQ24" i="11"/>
  <c r="BQ51" i="11" s="1"/>
  <c r="BE24" i="11"/>
  <c r="BE51" i="11" s="1"/>
  <c r="BY24" i="11"/>
  <c r="BY51" i="11" s="1"/>
  <c r="AD24" i="11"/>
  <c r="AD51" i="11" s="1"/>
  <c r="AL24" i="11"/>
  <c r="AL51" i="11" s="1"/>
  <c r="H35" i="11"/>
  <c r="H52" i="11" s="1"/>
  <c r="BF58" i="10"/>
  <c r="BQ58" i="10"/>
  <c r="AI24" i="11"/>
  <c r="AI51" i="11" s="1"/>
  <c r="BV24" i="11"/>
  <c r="BV51" i="11" s="1"/>
  <c r="AX35" i="11"/>
  <c r="AX52" i="11" s="1"/>
  <c r="BV35" i="11"/>
  <c r="BV52" i="11" s="1"/>
  <c r="AN35" i="11"/>
  <c r="AN52" i="11" s="1"/>
  <c r="BJ24" i="11"/>
  <c r="BJ51" i="11" s="1"/>
  <c r="BP35" i="11"/>
  <c r="BP52" i="11" s="1"/>
  <c r="AL35" i="11"/>
  <c r="AL52" i="11" s="1"/>
  <c r="BI35" i="11"/>
  <c r="BI52" i="11" s="1"/>
  <c r="BO35" i="11"/>
  <c r="BO52" i="11" s="1"/>
  <c r="AV58" i="9" l="1"/>
  <c r="D59" i="17" s="1"/>
  <c r="D44" i="17"/>
  <c r="AV57" i="9"/>
  <c r="D58" i="17" s="1"/>
  <c r="D36" i="17"/>
  <c r="BH35" i="9"/>
  <c r="BH57" i="9" s="1"/>
  <c r="C23" i="17"/>
  <c r="BU35" i="9"/>
  <c r="BU57" i="9" s="1"/>
  <c r="BI35" i="9"/>
  <c r="BI57" i="9" s="1"/>
  <c r="E35" i="9"/>
  <c r="E57" i="9" s="1"/>
  <c r="L35" i="9"/>
  <c r="L57" i="9" s="1"/>
  <c r="AT46" i="11"/>
  <c r="AT53" i="11" s="1"/>
  <c r="E46" i="11"/>
  <c r="E53" i="11" s="1"/>
  <c r="AF46" i="11"/>
  <c r="AF53" i="11" s="1"/>
  <c r="AF55" i="11" s="1"/>
  <c r="F36" i="19" s="1"/>
  <c r="AQ46" i="11"/>
  <c r="AQ53" i="11" s="1"/>
  <c r="AQ55" i="11" s="1"/>
  <c r="F47" i="19" s="1"/>
  <c r="BX46" i="11"/>
  <c r="BX53" i="11" s="1"/>
  <c r="AG46" i="11"/>
  <c r="AG53" i="11" s="1"/>
  <c r="AG55" i="11" s="1"/>
  <c r="F37" i="19" s="1"/>
  <c r="AZ46" i="11"/>
  <c r="AZ53" i="11" s="1"/>
  <c r="BO35" i="9"/>
  <c r="BO57" i="9" s="1"/>
  <c r="H35" i="9"/>
  <c r="H57" i="9" s="1"/>
  <c r="N35" i="9"/>
  <c r="N57" i="9" s="1"/>
  <c r="AW35" i="9"/>
  <c r="AW57" i="9" s="1"/>
  <c r="BP35" i="9"/>
  <c r="BP57" i="9" s="1"/>
  <c r="BX35" i="9"/>
  <c r="BX57" i="9" s="1"/>
  <c r="V35" i="9"/>
  <c r="V57" i="9" s="1"/>
  <c r="AS35" i="9"/>
  <c r="AS45" i="9" s="1"/>
  <c r="AS60" i="9" s="1"/>
  <c r="M35" i="9"/>
  <c r="M57" i="9" s="1"/>
  <c r="AE35" i="9"/>
  <c r="AE57" i="9" s="1"/>
  <c r="AA35" i="9"/>
  <c r="AA57" i="9" s="1"/>
  <c r="AU35" i="9"/>
  <c r="AU57" i="9" s="1"/>
  <c r="AH35" i="9"/>
  <c r="AH57" i="9" s="1"/>
  <c r="AO35" i="9"/>
  <c r="AO45" i="9" s="1"/>
  <c r="AO60" i="9" s="1"/>
  <c r="BN35" i="9"/>
  <c r="BN57" i="9" s="1"/>
  <c r="X35" i="9"/>
  <c r="X57" i="9" s="1"/>
  <c r="AG35" i="9"/>
  <c r="AG57" i="9" s="1"/>
  <c r="BA35" i="9"/>
  <c r="BA57" i="9" s="1"/>
  <c r="AC35" i="9"/>
  <c r="AC57" i="9" s="1"/>
  <c r="BG35" i="9"/>
  <c r="BG57" i="9" s="1"/>
  <c r="AM35" i="9"/>
  <c r="AM57" i="9" s="1"/>
  <c r="K35" i="9"/>
  <c r="K57" i="9" s="1"/>
  <c r="BT35" i="9"/>
  <c r="BT57" i="9" s="1"/>
  <c r="BW35" i="9"/>
  <c r="BW57" i="9" s="1"/>
  <c r="BL35" i="9"/>
  <c r="BM35" i="9"/>
  <c r="BM57" i="9" s="1"/>
  <c r="AB35" i="9"/>
  <c r="AB57" i="9" s="1"/>
  <c r="BQ35" i="9"/>
  <c r="BQ57" i="9" s="1"/>
  <c r="F35" i="9"/>
  <c r="F57" i="9" s="1"/>
  <c r="BJ35" i="9"/>
  <c r="BJ57" i="9" s="1"/>
  <c r="I35" i="9"/>
  <c r="I57" i="9" s="1"/>
  <c r="O35" i="9"/>
  <c r="O57" i="9" s="1"/>
  <c r="AR35" i="9"/>
  <c r="AR57" i="9" s="1"/>
  <c r="G35" i="9"/>
  <c r="G57" i="9" s="1"/>
  <c r="AL35" i="9"/>
  <c r="AL45" i="9" s="1"/>
  <c r="AL60" i="9" s="1"/>
  <c r="BZ35" i="9"/>
  <c r="BZ57" i="9" s="1"/>
  <c r="BS35" i="9"/>
  <c r="BS57" i="9" s="1"/>
  <c r="Y35" i="9"/>
  <c r="Y57" i="9" s="1"/>
  <c r="BV35" i="9"/>
  <c r="BV45" i="9" s="1"/>
  <c r="BV60" i="9" s="1"/>
  <c r="Z35" i="9"/>
  <c r="Z57" i="9" s="1"/>
  <c r="S35" i="9"/>
  <c r="S57" i="9" s="1"/>
  <c r="AK35" i="9"/>
  <c r="AT35" i="9"/>
  <c r="AT57" i="9" s="1"/>
  <c r="AF35" i="9"/>
  <c r="AF57" i="9" s="1"/>
  <c r="BC35" i="9"/>
  <c r="BC57" i="9" s="1"/>
  <c r="R35" i="9"/>
  <c r="R57" i="9" s="1"/>
  <c r="BD35" i="9"/>
  <c r="BD57" i="9" s="1"/>
  <c r="BG46" i="11"/>
  <c r="BG53" i="11" s="1"/>
  <c r="BG55" i="11" s="1"/>
  <c r="F63" i="19" s="1"/>
  <c r="D46" i="11"/>
  <c r="D53" i="11" s="1"/>
  <c r="D55" i="11" s="1"/>
  <c r="BG43" i="1"/>
  <c r="BG118" i="1" s="1"/>
  <c r="AW43" i="1"/>
  <c r="AW118" i="1" s="1"/>
  <c r="AL43" i="1"/>
  <c r="AL118" i="1" s="1"/>
  <c r="AD43" i="1"/>
  <c r="AD118" i="1" s="1"/>
  <c r="T43" i="1"/>
  <c r="T118" i="1" s="1"/>
  <c r="AK43" i="1"/>
  <c r="AK118" i="1" s="1"/>
  <c r="BH43" i="1"/>
  <c r="BH118" i="1" s="1"/>
  <c r="BH46" i="11"/>
  <c r="BH53" i="11" s="1"/>
  <c r="BH55" i="11" s="1"/>
  <c r="F64" i="19" s="1"/>
  <c r="BE46" i="11"/>
  <c r="BE53" i="11" s="1"/>
  <c r="BE55" i="11" s="1"/>
  <c r="F61" i="19" s="1"/>
  <c r="E55" i="26" s="1"/>
  <c r="X46" i="11"/>
  <c r="X53" i="11" s="1"/>
  <c r="X55" i="11" s="1"/>
  <c r="F28" i="19" s="1"/>
  <c r="BN46" i="11"/>
  <c r="BN53" i="11" s="1"/>
  <c r="BN55" i="11" s="1"/>
  <c r="F70" i="19" s="1"/>
  <c r="W46" i="11"/>
  <c r="W53" i="11" s="1"/>
  <c r="K46" i="11"/>
  <c r="K53" i="11" s="1"/>
  <c r="K55" i="11" s="1"/>
  <c r="F15" i="19" s="1"/>
  <c r="AX46" i="11"/>
  <c r="AX53" i="11" s="1"/>
  <c r="AX55" i="11" s="1"/>
  <c r="F54" i="19" s="1"/>
  <c r="AI46" i="11"/>
  <c r="AI53" i="11" s="1"/>
  <c r="AI55" i="11" s="1"/>
  <c r="F39" i="19" s="1"/>
  <c r="C45" i="16"/>
  <c r="BD46" i="11"/>
  <c r="BD53" i="11" s="1"/>
  <c r="BD55" i="11" s="1"/>
  <c r="F60" i="19" s="1"/>
  <c r="V46" i="11"/>
  <c r="V53" i="11" s="1"/>
  <c r="V55" i="11" s="1"/>
  <c r="F26" i="19" s="1"/>
  <c r="E20" i="26" s="1"/>
  <c r="M46" i="11"/>
  <c r="M53" i="11" s="1"/>
  <c r="M55" i="11" s="1"/>
  <c r="F17" i="19" s="1"/>
  <c r="E11" i="26" s="1"/>
  <c r="AN46" i="11"/>
  <c r="AN53" i="11" s="1"/>
  <c r="AL46" i="11"/>
  <c r="AL53" i="11" s="1"/>
  <c r="AL55" i="11" s="1"/>
  <c r="F42" i="19" s="1"/>
  <c r="E36" i="26" s="1"/>
  <c r="BQ46" i="11"/>
  <c r="BQ53" i="11" s="1"/>
  <c r="BQ55" i="11" s="1"/>
  <c r="F73" i="19" s="1"/>
  <c r="E67" i="26" s="1"/>
  <c r="BI46" i="11"/>
  <c r="BI53" i="11" s="1"/>
  <c r="BI55" i="11" s="1"/>
  <c r="F65" i="19" s="1"/>
  <c r="E59" i="26" s="1"/>
  <c r="BA46" i="11"/>
  <c r="BA53" i="11" s="1"/>
  <c r="BA55" i="11" s="1"/>
  <c r="F57" i="19" s="1"/>
  <c r="S46" i="11"/>
  <c r="S53" i="11" s="1"/>
  <c r="S55" i="11" s="1"/>
  <c r="F23" i="19" s="1"/>
  <c r="BL46" i="11"/>
  <c r="BL53" i="11" s="1"/>
  <c r="BL55" i="11" s="1"/>
  <c r="F68" i="19" s="1"/>
  <c r="BF46" i="11"/>
  <c r="BF53" i="11" s="1"/>
  <c r="BF55" i="11" s="1"/>
  <c r="F62" i="19" s="1"/>
  <c r="Y46" i="11"/>
  <c r="Y53" i="11" s="1"/>
  <c r="Y55" i="11" s="1"/>
  <c r="F29" i="19" s="1"/>
  <c r="BZ46" i="11"/>
  <c r="BZ53" i="11" s="1"/>
  <c r="BZ55" i="11" s="1"/>
  <c r="F82" i="19" s="1"/>
  <c r="E76" i="26" s="1"/>
  <c r="BP46" i="11"/>
  <c r="BP53" i="11" s="1"/>
  <c r="BP55" i="11" s="1"/>
  <c r="F72" i="19" s="1"/>
  <c r="E66" i="26" s="1"/>
  <c r="BM46" i="11"/>
  <c r="BM53" i="11" s="1"/>
  <c r="BR46" i="11"/>
  <c r="BR53" i="11" s="1"/>
  <c r="BR55" i="11" s="1"/>
  <c r="F74" i="19" s="1"/>
  <c r="E68" i="26" s="1"/>
  <c r="AS46" i="11"/>
  <c r="AS53" i="11" s="1"/>
  <c r="AS55" i="11" s="1"/>
  <c r="F49" i="19" s="1"/>
  <c r="E43" i="26" s="1"/>
  <c r="P46" i="11"/>
  <c r="P53" i="11" s="1"/>
  <c r="P55" i="11" s="1"/>
  <c r="F20" i="19" s="1"/>
  <c r="E14" i="26" s="1"/>
  <c r="AP46" i="11"/>
  <c r="AP53" i="11" s="1"/>
  <c r="BS46" i="11"/>
  <c r="BS53" i="11" s="1"/>
  <c r="BS55" i="11" s="1"/>
  <c r="F75" i="19" s="1"/>
  <c r="E69" i="26" s="1"/>
  <c r="AB46" i="11"/>
  <c r="AB53" i="11" s="1"/>
  <c r="AB55" i="11" s="1"/>
  <c r="F32" i="19" s="1"/>
  <c r="E26" i="26" s="1"/>
  <c r="BT46" i="11"/>
  <c r="BT53" i="11" s="1"/>
  <c r="BT55" i="11" s="1"/>
  <c r="F76" i="19" s="1"/>
  <c r="E70" i="26" s="1"/>
  <c r="AU46" i="11"/>
  <c r="AU53" i="11" s="1"/>
  <c r="AR46" i="11"/>
  <c r="AR53" i="11" s="1"/>
  <c r="L46" i="11"/>
  <c r="L53" i="11" s="1"/>
  <c r="L55" i="11" s="1"/>
  <c r="F16" i="19" s="1"/>
  <c r="Z46" i="11"/>
  <c r="Z53" i="11" s="1"/>
  <c r="Z55" i="11" s="1"/>
  <c r="F30" i="19" s="1"/>
  <c r="AA46" i="11"/>
  <c r="AA53" i="11" s="1"/>
  <c r="BK46" i="11"/>
  <c r="BK53" i="11" s="1"/>
  <c r="BK55" i="11" s="1"/>
  <c r="F67" i="19" s="1"/>
  <c r="AV46" i="11"/>
  <c r="AV53" i="11" s="1"/>
  <c r="AV55" i="11" s="1"/>
  <c r="F52" i="19" s="1"/>
  <c r="AK46" i="11"/>
  <c r="AK53" i="11" s="1"/>
  <c r="AK55" i="11" s="1"/>
  <c r="F41" i="19" s="1"/>
  <c r="E35" i="26" s="1"/>
  <c r="H46" i="11"/>
  <c r="H53" i="11" s="1"/>
  <c r="N46" i="11"/>
  <c r="N53" i="11" s="1"/>
  <c r="N55" i="11" s="1"/>
  <c r="F18" i="19" s="1"/>
  <c r="BC46" i="11"/>
  <c r="BC53" i="11" s="1"/>
  <c r="BC55" i="11" s="1"/>
  <c r="F59" i="19" s="1"/>
  <c r="E53" i="26" s="1"/>
  <c r="J46" i="11"/>
  <c r="J53" i="11" s="1"/>
  <c r="J55" i="11" s="1"/>
  <c r="F14" i="19" s="1"/>
  <c r="AO46" i="11"/>
  <c r="AO53" i="11" s="1"/>
  <c r="AO55" i="11" s="1"/>
  <c r="F45" i="19" s="1"/>
  <c r="BJ46" i="11"/>
  <c r="BJ53" i="11" s="1"/>
  <c r="BJ55" i="11" s="1"/>
  <c r="F66" i="19" s="1"/>
  <c r="AY46" i="11"/>
  <c r="AY53" i="11" s="1"/>
  <c r="AY55" i="11" s="1"/>
  <c r="F55" i="19" s="1"/>
  <c r="E49" i="26" s="1"/>
  <c r="AC46" i="11"/>
  <c r="AC53" i="11" s="1"/>
  <c r="AC55" i="11" s="1"/>
  <c r="F33" i="19" s="1"/>
  <c r="BU46" i="11"/>
  <c r="BU53" i="11" s="1"/>
  <c r="BU55" i="11" s="1"/>
  <c r="F77" i="19" s="1"/>
  <c r="E71" i="26" s="1"/>
  <c r="AE46" i="11"/>
  <c r="AE53" i="11" s="1"/>
  <c r="Q46" i="11"/>
  <c r="Q53" i="11" s="1"/>
  <c r="Q55" i="11" s="1"/>
  <c r="F21" i="19" s="1"/>
  <c r="E15" i="26" s="1"/>
  <c r="R46" i="11"/>
  <c r="R53" i="11" s="1"/>
  <c r="R55" i="11" s="1"/>
  <c r="F22" i="19" s="1"/>
  <c r="T46" i="11"/>
  <c r="T53" i="11" s="1"/>
  <c r="BO46" i="11"/>
  <c r="BO53" i="11" s="1"/>
  <c r="BO55" i="11" s="1"/>
  <c r="F71" i="19" s="1"/>
  <c r="E65" i="26" s="1"/>
  <c r="G46" i="11"/>
  <c r="G53" i="11" s="1"/>
  <c r="G55" i="11" s="1"/>
  <c r="F11" i="19" s="1"/>
  <c r="AD46" i="11"/>
  <c r="AD53" i="11" s="1"/>
  <c r="AD55" i="11" s="1"/>
  <c r="F34" i="19" s="1"/>
  <c r="AW46" i="11"/>
  <c r="AW53" i="11" s="1"/>
  <c r="AW55" i="11" s="1"/>
  <c r="F53" i="19" s="1"/>
  <c r="F46" i="11"/>
  <c r="F53" i="11" s="1"/>
  <c r="AJ46" i="11"/>
  <c r="AJ53" i="11" s="1"/>
  <c r="AJ55" i="11" s="1"/>
  <c r="F40" i="19" s="1"/>
  <c r="E34" i="26" s="1"/>
  <c r="I46" i="11"/>
  <c r="I53" i="11" s="1"/>
  <c r="I55" i="11" s="1"/>
  <c r="F13" i="19" s="1"/>
  <c r="U46" i="11"/>
  <c r="U53" i="11" s="1"/>
  <c r="BB46" i="11"/>
  <c r="BB53" i="11" s="1"/>
  <c r="BB55" i="11" s="1"/>
  <c r="F58" i="19" s="1"/>
  <c r="AH46" i="11"/>
  <c r="AH53" i="11" s="1"/>
  <c r="AH55" i="11" s="1"/>
  <c r="F38" i="19" s="1"/>
  <c r="BY46" i="11"/>
  <c r="BY53" i="11" s="1"/>
  <c r="BY55" i="11" s="1"/>
  <c r="F81" i="19" s="1"/>
  <c r="E75" i="26" s="1"/>
  <c r="AM46" i="11"/>
  <c r="AM53" i="11" s="1"/>
  <c r="O46" i="11"/>
  <c r="O53" i="11" s="1"/>
  <c r="O55" i="11" s="1"/>
  <c r="F19" i="19" s="1"/>
  <c r="E13" i="26" s="1"/>
  <c r="K43" i="1"/>
  <c r="K118" i="1" s="1"/>
  <c r="AE43" i="1"/>
  <c r="AE118" i="1" s="1"/>
  <c r="V43" i="1"/>
  <c r="V118" i="1" s="1"/>
  <c r="BQ43" i="1"/>
  <c r="BQ118" i="1" s="1"/>
  <c r="W43" i="1"/>
  <c r="W118" i="1" s="1"/>
  <c r="AF43" i="1"/>
  <c r="AF118" i="1" s="1"/>
  <c r="BL43" i="1"/>
  <c r="BL118" i="1" s="1"/>
  <c r="D119" i="13" s="1"/>
  <c r="AC43" i="1"/>
  <c r="AC118" i="1" s="1"/>
  <c r="BX43" i="1"/>
  <c r="BX118" i="1" s="1"/>
  <c r="BR43" i="1"/>
  <c r="BR118" i="1" s="1"/>
  <c r="R43" i="1"/>
  <c r="R118" i="1" s="1"/>
  <c r="BT43" i="1"/>
  <c r="BT118" i="1" s="1"/>
  <c r="AO43" i="1"/>
  <c r="AO118" i="1" s="1"/>
  <c r="AT43" i="1"/>
  <c r="AT118" i="1" s="1"/>
  <c r="U43" i="1"/>
  <c r="U118" i="1" s="1"/>
  <c r="AQ43" i="1"/>
  <c r="AQ118" i="1" s="1"/>
  <c r="AU43" i="1"/>
  <c r="AU118" i="1" s="1"/>
  <c r="AS43" i="1"/>
  <c r="AS118" i="1" s="1"/>
  <c r="AA43" i="1"/>
  <c r="AA118" i="1" s="1"/>
  <c r="X43" i="1"/>
  <c r="X118" i="1" s="1"/>
  <c r="AZ43" i="1"/>
  <c r="AZ118" i="1" s="1"/>
  <c r="AG43" i="1"/>
  <c r="AG118" i="1" s="1"/>
  <c r="AI43" i="1"/>
  <c r="AI118" i="1" s="1"/>
  <c r="E43" i="1"/>
  <c r="E118" i="1" s="1"/>
  <c r="G43" i="1"/>
  <c r="G118" i="1" s="1"/>
  <c r="O43" i="1"/>
  <c r="O118" i="1" s="1"/>
  <c r="BU43" i="1"/>
  <c r="BU118" i="1" s="1"/>
  <c r="BC43" i="1"/>
  <c r="BC118" i="1" s="1"/>
  <c r="BO43" i="1"/>
  <c r="BO118" i="1" s="1"/>
  <c r="BW43" i="1"/>
  <c r="BW118" i="1" s="1"/>
  <c r="BY43" i="1"/>
  <c r="BY118" i="1" s="1"/>
  <c r="BF43" i="1"/>
  <c r="BF118" i="1" s="1"/>
  <c r="AM43" i="1"/>
  <c r="AM118" i="1" s="1"/>
  <c r="Q43" i="1"/>
  <c r="Q118" i="1" s="1"/>
  <c r="C36" i="13"/>
  <c r="L43" i="1"/>
  <c r="L118" i="1" s="1"/>
  <c r="J43" i="1"/>
  <c r="J118" i="1" s="1"/>
  <c r="P43" i="1"/>
  <c r="P118" i="1" s="1"/>
  <c r="AR43" i="1"/>
  <c r="AR118" i="1" s="1"/>
  <c r="AN43" i="1"/>
  <c r="AN118" i="1" s="1"/>
  <c r="BD43" i="1"/>
  <c r="BD118" i="1" s="1"/>
  <c r="BA43" i="1"/>
  <c r="BA118" i="1" s="1"/>
  <c r="AL57" i="9"/>
  <c r="BH136" i="1"/>
  <c r="BH140" i="1" s="1"/>
  <c r="L45" i="9"/>
  <c r="L60" i="9" s="1"/>
  <c r="H43" i="1"/>
  <c r="H118" i="1" s="1"/>
  <c r="BZ43" i="1"/>
  <c r="BZ118" i="1" s="1"/>
  <c r="BM43" i="1"/>
  <c r="BM118" i="1" s="1"/>
  <c r="AH43" i="1"/>
  <c r="AH118" i="1" s="1"/>
  <c r="AX43" i="1"/>
  <c r="AX118" i="1" s="1"/>
  <c r="AV43" i="1"/>
  <c r="AV118" i="1" s="1"/>
  <c r="BS43" i="1"/>
  <c r="BS118" i="1" s="1"/>
  <c r="N43" i="1"/>
  <c r="N118" i="1" s="1"/>
  <c r="F43" i="1"/>
  <c r="F118" i="1" s="1"/>
  <c r="AY43" i="1"/>
  <c r="AY118" i="1" s="1"/>
  <c r="C43" i="1"/>
  <c r="C118" i="1" s="1"/>
  <c r="C119" i="13" s="1"/>
  <c r="Z43" i="1"/>
  <c r="Z118" i="1" s="1"/>
  <c r="AP43" i="1"/>
  <c r="AP118" i="1" s="1"/>
  <c r="BV43" i="1"/>
  <c r="BV118" i="1" s="1"/>
  <c r="I43" i="1"/>
  <c r="I118" i="1" s="1"/>
  <c r="Y43" i="1"/>
  <c r="Y118" i="1" s="1"/>
  <c r="D43" i="1"/>
  <c r="D118" i="1" s="1"/>
  <c r="S43" i="1"/>
  <c r="S118" i="1" s="1"/>
  <c r="BB43" i="1"/>
  <c r="BB118" i="1" s="1"/>
  <c r="AB43" i="1"/>
  <c r="AB118" i="1" s="1"/>
  <c r="AJ43" i="1"/>
  <c r="AJ118" i="1" s="1"/>
  <c r="BJ43" i="1"/>
  <c r="BJ118" i="1" s="1"/>
  <c r="BK43" i="1"/>
  <c r="BK118" i="1" s="1"/>
  <c r="BE43" i="1"/>
  <c r="BE118" i="1" s="1"/>
  <c r="BN43" i="1"/>
  <c r="BN118" i="1" s="1"/>
  <c r="BP43" i="1"/>
  <c r="BP118" i="1" s="1"/>
  <c r="M43" i="1"/>
  <c r="M118" i="1" s="1"/>
  <c r="AZ45" i="9"/>
  <c r="AZ60" i="9" s="1"/>
  <c r="AZ57" i="9"/>
  <c r="BY45" i="9"/>
  <c r="BY60" i="9" s="1"/>
  <c r="AD45" i="9"/>
  <c r="AD60" i="9" s="1"/>
  <c r="D45" i="9"/>
  <c r="D60" i="9" s="1"/>
  <c r="AX45" i="9"/>
  <c r="AX60" i="9" s="1"/>
  <c r="AD57" i="9"/>
  <c r="BZ45" i="9"/>
  <c r="BZ60" i="9" s="1"/>
  <c r="AY45" i="9"/>
  <c r="AY60" i="9" s="1"/>
  <c r="AB45" i="9"/>
  <c r="AB60" i="9" s="1"/>
  <c r="AQ45" i="9"/>
  <c r="AQ60" i="9" s="1"/>
  <c r="U45" i="9"/>
  <c r="U60" i="9" s="1"/>
  <c r="BA45" i="9"/>
  <c r="BA60" i="9" s="1"/>
  <c r="BE45" i="9"/>
  <c r="BE60" i="9" s="1"/>
  <c r="AY57" i="9"/>
  <c r="Q45" i="9"/>
  <c r="Q60" i="9" s="1"/>
  <c r="N45" i="9"/>
  <c r="N60" i="9" s="1"/>
  <c r="BO45" i="9"/>
  <c r="BO60" i="9" s="1"/>
  <c r="P45" i="9"/>
  <c r="P60" i="9" s="1"/>
  <c r="AX57" i="9"/>
  <c r="AJ45" i="9"/>
  <c r="AJ60" i="9" s="1"/>
  <c r="BM45" i="9"/>
  <c r="BM60" i="9" s="1"/>
  <c r="J45" i="9"/>
  <c r="J60" i="9" s="1"/>
  <c r="BK45" i="9"/>
  <c r="BK60" i="9" s="1"/>
  <c r="AF45" i="9"/>
  <c r="AF60" i="9" s="1"/>
  <c r="AC45" i="9"/>
  <c r="AC60" i="9" s="1"/>
  <c r="BU45" i="9"/>
  <c r="BU60" i="9" s="1"/>
  <c r="D57" i="9"/>
  <c r="AW45" i="9"/>
  <c r="AW60" i="9" s="1"/>
  <c r="H45" i="9"/>
  <c r="H60" i="9" s="1"/>
  <c r="BB45" i="9"/>
  <c r="BB60" i="9" s="1"/>
  <c r="AK45" i="9"/>
  <c r="AK60" i="9" s="1"/>
  <c r="G45" i="9"/>
  <c r="G60" i="9" s="1"/>
  <c r="E55" i="11"/>
  <c r="F9" i="19" s="1"/>
  <c r="AP45" i="9"/>
  <c r="AP60" i="9" s="1"/>
  <c r="AN45" i="9"/>
  <c r="AN60" i="9" s="1"/>
  <c r="AI45" i="9"/>
  <c r="AI60" i="9" s="1"/>
  <c r="W45" i="9"/>
  <c r="W60" i="9" s="1"/>
  <c r="BR45" i="9"/>
  <c r="BR60" i="9" s="1"/>
  <c r="AV45" i="9"/>
  <c r="AE45" i="9"/>
  <c r="AE60" i="9" s="1"/>
  <c r="BF45" i="9"/>
  <c r="BF60" i="9" s="1"/>
  <c r="AA45" i="9"/>
  <c r="AA60" i="9" s="1"/>
  <c r="T45" i="9"/>
  <c r="T60" i="9" s="1"/>
  <c r="BE57" i="9"/>
  <c r="U57" i="9"/>
  <c r="AK57" i="9"/>
  <c r="V94" i="1"/>
  <c r="V132" i="1" s="1"/>
  <c r="C87" i="13"/>
  <c r="U94" i="1"/>
  <c r="U132" i="1" s="1"/>
  <c r="BP94" i="1"/>
  <c r="BP132" i="1" s="1"/>
  <c r="M94" i="1"/>
  <c r="M132" i="1" s="1"/>
  <c r="BO94" i="1"/>
  <c r="BO132" i="1" s="1"/>
  <c r="BX94" i="1"/>
  <c r="BX132" i="1" s="1"/>
  <c r="BM94" i="1"/>
  <c r="BM132" i="1" s="1"/>
  <c r="BA94" i="1"/>
  <c r="BA132" i="1" s="1"/>
  <c r="BT94" i="1"/>
  <c r="BT132" i="1" s="1"/>
  <c r="R94" i="1"/>
  <c r="R132" i="1" s="1"/>
  <c r="BS94" i="1"/>
  <c r="BS132" i="1" s="1"/>
  <c r="I94" i="1"/>
  <c r="I132" i="1" s="1"/>
  <c r="AN94" i="1"/>
  <c r="AN132" i="1" s="1"/>
  <c r="BQ94" i="1"/>
  <c r="BQ132" i="1" s="1"/>
  <c r="G94" i="1"/>
  <c r="G132" i="1" s="1"/>
  <c r="N94" i="1"/>
  <c r="N132" i="1" s="1"/>
  <c r="BG94" i="1"/>
  <c r="BG132" i="1" s="1"/>
  <c r="BV94" i="1"/>
  <c r="BV132" i="1" s="1"/>
  <c r="BL94" i="1"/>
  <c r="J94" i="1"/>
  <c r="J132" i="1" s="1"/>
  <c r="BK94" i="1"/>
  <c r="BK132" i="1" s="1"/>
  <c r="AF94" i="1"/>
  <c r="AF132" i="1" s="1"/>
  <c r="BI94" i="1"/>
  <c r="BI132" i="1" s="1"/>
  <c r="BB94" i="1"/>
  <c r="BB132" i="1" s="1"/>
  <c r="AY94" i="1"/>
  <c r="AY132" i="1" s="1"/>
  <c r="AZ94" i="1"/>
  <c r="AZ132" i="1" s="1"/>
  <c r="AT94" i="1"/>
  <c r="AT132" i="1" s="1"/>
  <c r="BE94" i="1"/>
  <c r="BE132" i="1" s="1"/>
  <c r="AD94" i="1"/>
  <c r="AD132" i="1" s="1"/>
  <c r="X94" i="1"/>
  <c r="X132" i="1" s="1"/>
  <c r="BC94" i="1"/>
  <c r="BC132" i="1" s="1"/>
  <c r="AR94" i="1"/>
  <c r="AR132" i="1" s="1"/>
  <c r="AQ94" i="1"/>
  <c r="AQ132" i="1" s="1"/>
  <c r="AB94" i="1"/>
  <c r="AB132" i="1" s="1"/>
  <c r="BF94" i="1"/>
  <c r="BF132" i="1" s="1"/>
  <c r="BN94" i="1"/>
  <c r="BN132" i="1" s="1"/>
  <c r="AW94" i="1"/>
  <c r="AW132" i="1" s="1"/>
  <c r="BZ94" i="1"/>
  <c r="BZ132" i="1" s="1"/>
  <c r="P94" i="1"/>
  <c r="P132" i="1" s="1"/>
  <c r="AU94" i="1"/>
  <c r="AU132" i="1" s="1"/>
  <c r="T94" i="1"/>
  <c r="T132" i="1" s="1"/>
  <c r="AI94" i="1"/>
  <c r="AI132" i="1" s="1"/>
  <c r="D94" i="1"/>
  <c r="D132" i="1" s="1"/>
  <c r="AX94" i="1"/>
  <c r="AX132" i="1" s="1"/>
  <c r="AJ94" i="1"/>
  <c r="AJ132" i="1" s="1"/>
  <c r="AO94" i="1"/>
  <c r="AO132" i="1" s="1"/>
  <c r="BR94" i="1"/>
  <c r="BR132" i="1" s="1"/>
  <c r="H94" i="1"/>
  <c r="H132" i="1" s="1"/>
  <c r="AM94" i="1"/>
  <c r="AM132" i="1" s="1"/>
  <c r="BW94" i="1"/>
  <c r="BW132" i="1" s="1"/>
  <c r="AA94" i="1"/>
  <c r="AA132" i="1" s="1"/>
  <c r="AP94" i="1"/>
  <c r="AP132" i="1" s="1"/>
  <c r="L94" i="1"/>
  <c r="L132" i="1" s="1"/>
  <c r="AG94" i="1"/>
  <c r="AG132" i="1" s="1"/>
  <c r="BJ94" i="1"/>
  <c r="BJ132" i="1" s="1"/>
  <c r="AE94" i="1"/>
  <c r="AE132" i="1" s="1"/>
  <c r="BU94" i="1"/>
  <c r="BU132" i="1" s="1"/>
  <c r="K94" i="1"/>
  <c r="K132" i="1" s="1"/>
  <c r="F94" i="1"/>
  <c r="F132" i="1" s="1"/>
  <c r="Z94" i="1"/>
  <c r="Z132" i="1" s="1"/>
  <c r="E94" i="1"/>
  <c r="E132" i="1" s="1"/>
  <c r="Q94" i="1"/>
  <c r="Q132" i="1" s="1"/>
  <c r="AV94" i="1"/>
  <c r="AV132" i="1" s="1"/>
  <c r="BY94" i="1"/>
  <c r="BY132" i="1" s="1"/>
  <c r="O94" i="1"/>
  <c r="O132" i="1" s="1"/>
  <c r="AS94" i="1"/>
  <c r="AS132" i="1" s="1"/>
  <c r="S94" i="1"/>
  <c r="S132" i="1" s="1"/>
  <c r="AL94" i="1"/>
  <c r="AL132" i="1" s="1"/>
  <c r="AH94" i="1"/>
  <c r="AH132" i="1" s="1"/>
  <c r="AK94" i="1"/>
  <c r="AK132" i="1" s="1"/>
  <c r="Y94" i="1"/>
  <c r="Y132" i="1" s="1"/>
  <c r="BD94" i="1"/>
  <c r="BD132" i="1" s="1"/>
  <c r="AC94" i="1"/>
  <c r="AC132" i="1" s="1"/>
  <c r="W94" i="1"/>
  <c r="W132" i="1" s="1"/>
  <c r="C94" i="1"/>
  <c r="C73" i="13"/>
  <c r="C129" i="1"/>
  <c r="O72" i="1"/>
  <c r="O129" i="1" s="1"/>
  <c r="T72" i="1"/>
  <c r="T129" i="1" s="1"/>
  <c r="X72" i="1"/>
  <c r="X129" i="1" s="1"/>
  <c r="AC72" i="1"/>
  <c r="AC129" i="1" s="1"/>
  <c r="AC136" i="1" s="1"/>
  <c r="AC140" i="1" s="1"/>
  <c r="AI72" i="1"/>
  <c r="AI129" i="1" s="1"/>
  <c r="AS72" i="1"/>
  <c r="AS129" i="1" s="1"/>
  <c r="AZ72" i="1"/>
  <c r="AZ129" i="1" s="1"/>
  <c r="BG72" i="1"/>
  <c r="BG129" i="1" s="1"/>
  <c r="BS72" i="1"/>
  <c r="BS129" i="1" s="1"/>
  <c r="BX72" i="1"/>
  <c r="BX129" i="1" s="1"/>
  <c r="E72" i="1"/>
  <c r="E129" i="1" s="1"/>
  <c r="AB72" i="1"/>
  <c r="AB129" i="1" s="1"/>
  <c r="AB136" i="1" s="1"/>
  <c r="AB140" i="1" s="1"/>
  <c r="AH72" i="1"/>
  <c r="AH129" i="1" s="1"/>
  <c r="AM72" i="1"/>
  <c r="AM129" i="1" s="1"/>
  <c r="AR72" i="1"/>
  <c r="AR129" i="1" s="1"/>
  <c r="AY72" i="1"/>
  <c r="AY129" i="1" s="1"/>
  <c r="BI72" i="1"/>
  <c r="BI129" i="1" s="1"/>
  <c r="BO72" i="1"/>
  <c r="BO129" i="1" s="1"/>
  <c r="C65" i="13"/>
  <c r="D72" i="1"/>
  <c r="D129" i="1" s="1"/>
  <c r="I72" i="1"/>
  <c r="I129" i="1" s="1"/>
  <c r="BB72" i="1"/>
  <c r="BB129" i="1" s="1"/>
  <c r="H72" i="1"/>
  <c r="H129" i="1" s="1"/>
  <c r="M72" i="1"/>
  <c r="M129" i="1" s="1"/>
  <c r="AQ72" i="1"/>
  <c r="AQ129" i="1" s="1"/>
  <c r="AX72" i="1"/>
  <c r="AX129" i="1" s="1"/>
  <c r="BF72" i="1"/>
  <c r="BF129" i="1" s="1"/>
  <c r="BN72" i="1"/>
  <c r="BN129" i="1" s="1"/>
  <c r="BR72" i="1"/>
  <c r="BR129" i="1" s="1"/>
  <c r="BW72" i="1"/>
  <c r="BW129" i="1" s="1"/>
  <c r="L72" i="1"/>
  <c r="L129" i="1" s="1"/>
  <c r="Q72" i="1"/>
  <c r="Q129" i="1" s="1"/>
  <c r="AG72" i="1"/>
  <c r="AG129" i="1" s="1"/>
  <c r="AL72" i="1"/>
  <c r="AL129" i="1" s="1"/>
  <c r="AP72" i="1"/>
  <c r="AP129" i="1" s="1"/>
  <c r="AW72" i="1"/>
  <c r="AW129" i="1" s="1"/>
  <c r="BE72" i="1"/>
  <c r="BE129" i="1" s="1"/>
  <c r="BV72" i="1"/>
  <c r="BV129" i="1" s="1"/>
  <c r="U72" i="1"/>
  <c r="U129" i="1" s="1"/>
  <c r="AN72" i="1"/>
  <c r="AN129" i="1" s="1"/>
  <c r="AT72" i="1"/>
  <c r="AT129" i="1" s="1"/>
  <c r="BC72" i="1"/>
  <c r="BC129" i="1" s="1"/>
  <c r="BK72" i="1"/>
  <c r="BK129" i="1" s="1"/>
  <c r="BL72" i="1"/>
  <c r="BM72" i="1"/>
  <c r="BM129" i="1" s="1"/>
  <c r="BQ72" i="1"/>
  <c r="BQ129" i="1" s="1"/>
  <c r="AU72" i="1"/>
  <c r="AU129" i="1" s="1"/>
  <c r="BA72" i="1"/>
  <c r="BA129" i="1" s="1"/>
  <c r="BJ72" i="1"/>
  <c r="BJ129" i="1" s="1"/>
  <c r="G72" i="1"/>
  <c r="G129" i="1" s="1"/>
  <c r="K72" i="1"/>
  <c r="K129" i="1" s="1"/>
  <c r="Y72" i="1"/>
  <c r="Y129" i="1" s="1"/>
  <c r="AO72" i="1"/>
  <c r="AO129" i="1" s="1"/>
  <c r="AV72" i="1"/>
  <c r="AV129" i="1" s="1"/>
  <c r="BU72" i="1"/>
  <c r="BU129" i="1" s="1"/>
  <c r="BZ72" i="1"/>
  <c r="BZ129" i="1" s="1"/>
  <c r="AJ72" i="1"/>
  <c r="AJ129" i="1" s="1"/>
  <c r="F72" i="1"/>
  <c r="F129" i="1" s="1"/>
  <c r="J72" i="1"/>
  <c r="J129" i="1" s="1"/>
  <c r="P72" i="1"/>
  <c r="P129" i="1" s="1"/>
  <c r="AD72" i="1"/>
  <c r="AD129" i="1" s="1"/>
  <c r="AE72" i="1"/>
  <c r="AE129" i="1" s="1"/>
  <c r="AF72" i="1"/>
  <c r="AF129" i="1" s="1"/>
  <c r="AK72" i="1"/>
  <c r="AK129" i="1" s="1"/>
  <c r="BD72" i="1"/>
  <c r="BD129" i="1" s="1"/>
  <c r="BP72" i="1"/>
  <c r="BP129" i="1" s="1"/>
  <c r="BT72" i="1"/>
  <c r="BT129" i="1" s="1"/>
  <c r="BY72" i="1"/>
  <c r="BY129" i="1" s="1"/>
  <c r="R72" i="1"/>
  <c r="R129" i="1" s="1"/>
  <c r="S72" i="1"/>
  <c r="S129" i="1" s="1"/>
  <c r="V72" i="1"/>
  <c r="V129" i="1" s="1"/>
  <c r="Z72" i="1"/>
  <c r="Z129" i="1" s="1"/>
  <c r="N72" i="1"/>
  <c r="N129" i="1" s="1"/>
  <c r="W72" i="1"/>
  <c r="W129" i="1" s="1"/>
  <c r="AA72" i="1"/>
  <c r="AA129" i="1" s="1"/>
  <c r="D44" i="13"/>
  <c r="C13" i="1"/>
  <c r="BH115" i="1" s="1"/>
  <c r="C20" i="13"/>
  <c r="T55" i="11"/>
  <c r="F24" i="19" s="1"/>
  <c r="AA55" i="11"/>
  <c r="F31" i="19" s="1"/>
  <c r="BU70" i="10"/>
  <c r="R70" i="10"/>
  <c r="AD70" i="10"/>
  <c r="BR70" i="10"/>
  <c r="AC70" i="10"/>
  <c r="BW70" i="10"/>
  <c r="AT70" i="10"/>
  <c r="AV70" i="10"/>
  <c r="F70" i="10"/>
  <c r="BG70" i="10"/>
  <c r="AL70" i="10"/>
  <c r="E70" i="10"/>
  <c r="AI70" i="10"/>
  <c r="W55" i="11"/>
  <c r="F27" i="19" s="1"/>
  <c r="BD70" i="10"/>
  <c r="BX55" i="11"/>
  <c r="F80" i="19" s="1"/>
  <c r="D58" i="10"/>
  <c r="AT55" i="11"/>
  <c r="F50" i="19" s="1"/>
  <c r="BZ70" i="10"/>
  <c r="AN55" i="11"/>
  <c r="F44" i="19" s="1"/>
  <c r="AR55" i="11"/>
  <c r="F48" i="19" s="1"/>
  <c r="AO70" i="10"/>
  <c r="U55" i="11"/>
  <c r="F25" i="19" s="1"/>
  <c r="AP55" i="11"/>
  <c r="F46" i="19" s="1"/>
  <c r="AQ70" i="10"/>
  <c r="I70" i="10"/>
  <c r="AU55" i="11"/>
  <c r="F51" i="19" s="1"/>
  <c r="BW55" i="11"/>
  <c r="F79" i="19" s="1"/>
  <c r="AZ55" i="11"/>
  <c r="F56" i="19" s="1"/>
  <c r="AS70" i="10"/>
  <c r="C58" i="9"/>
  <c r="C59" i="17" s="1"/>
  <c r="AM55" i="11"/>
  <c r="F43" i="19" s="1"/>
  <c r="E37" i="26" s="1"/>
  <c r="BB70" i="10"/>
  <c r="C24" i="11"/>
  <c r="C25" i="16" s="1"/>
  <c r="D25" i="16"/>
  <c r="BV55" i="11"/>
  <c r="F78" i="19" s="1"/>
  <c r="E72" i="26" s="1"/>
  <c r="AM70" i="10"/>
  <c r="AP70" i="10"/>
  <c r="AK70" i="10"/>
  <c r="BF70" i="10"/>
  <c r="BC70" i="10"/>
  <c r="BI70" i="10"/>
  <c r="BO70" i="10"/>
  <c r="AE55" i="11"/>
  <c r="F35" i="19" s="1"/>
  <c r="E29" i="26" s="1"/>
  <c r="F55" i="11"/>
  <c r="F10" i="19" s="1"/>
  <c r="E4" i="26" s="1"/>
  <c r="AB70" i="10"/>
  <c r="C35" i="11"/>
  <c r="C36" i="16" s="1"/>
  <c r="D36" i="16"/>
  <c r="S70" i="10"/>
  <c r="BA70" i="10"/>
  <c r="BP70" i="10"/>
  <c r="BM55" i="11"/>
  <c r="F69" i="19" s="1"/>
  <c r="E63" i="26" s="1"/>
  <c r="P70" i="10"/>
  <c r="U70" i="10"/>
  <c r="BQ70" i="10"/>
  <c r="AA70" i="10"/>
  <c r="H55" i="11"/>
  <c r="F12" i="19" s="1"/>
  <c r="E6" i="26" s="1"/>
  <c r="D47" i="16" l="1"/>
  <c r="AM45" i="9"/>
  <c r="AM60" i="9" s="1"/>
  <c r="BG45" i="9"/>
  <c r="BI45" i="9"/>
  <c r="BI60" i="9" s="1"/>
  <c r="BH45" i="9"/>
  <c r="E45" i="9"/>
  <c r="E60" i="9" s="1"/>
  <c r="AV60" i="9"/>
  <c r="D61" i="17" s="1"/>
  <c r="D46" i="17"/>
  <c r="BP45" i="9"/>
  <c r="BP60" i="9" s="1"/>
  <c r="BN45" i="9"/>
  <c r="BN60" i="9" s="1"/>
  <c r="BC45" i="9"/>
  <c r="BC60" i="9" s="1"/>
  <c r="AT45" i="9"/>
  <c r="AT60" i="9" s="1"/>
  <c r="BD45" i="9"/>
  <c r="BD60" i="9" s="1"/>
  <c r="BL45" i="9"/>
  <c r="BL60" i="9" s="1"/>
  <c r="F45" i="9"/>
  <c r="F60" i="9" s="1"/>
  <c r="AH45" i="9"/>
  <c r="AH60" i="9" s="1"/>
  <c r="AU45" i="9"/>
  <c r="AU60" i="9" s="1"/>
  <c r="I45" i="9"/>
  <c r="I60" i="9" s="1"/>
  <c r="BL57" i="9"/>
  <c r="BV57" i="9"/>
  <c r="AR45" i="9"/>
  <c r="AR60" i="9" s="1"/>
  <c r="V45" i="9"/>
  <c r="V60" i="9" s="1"/>
  <c r="BQ45" i="9"/>
  <c r="BQ60" i="9" s="1"/>
  <c r="AG45" i="9"/>
  <c r="AG60" i="9" s="1"/>
  <c r="M45" i="9"/>
  <c r="M60" i="9" s="1"/>
  <c r="S45" i="9"/>
  <c r="S60" i="9" s="1"/>
  <c r="BT45" i="9"/>
  <c r="BT60" i="9" s="1"/>
  <c r="K45" i="9"/>
  <c r="K60" i="9" s="1"/>
  <c r="AO57" i="9"/>
  <c r="O45" i="9"/>
  <c r="O60" i="9" s="1"/>
  <c r="Y45" i="9"/>
  <c r="Y60" i="9" s="1"/>
  <c r="BJ45" i="9"/>
  <c r="BJ60" i="9" s="1"/>
  <c r="BX45" i="9"/>
  <c r="BX60" i="9" s="1"/>
  <c r="R45" i="9"/>
  <c r="R60" i="9" s="1"/>
  <c r="BW45" i="9"/>
  <c r="BW60" i="9" s="1"/>
  <c r="X45" i="9"/>
  <c r="X60" i="9" s="1"/>
  <c r="Z45" i="9"/>
  <c r="Z60" i="9" s="1"/>
  <c r="AS57" i="9"/>
  <c r="BS45" i="9"/>
  <c r="BS60" i="9" s="1"/>
  <c r="BH122" i="1"/>
  <c r="BH126" i="1" s="1"/>
  <c r="BH143" i="1" s="1"/>
  <c r="O64" i="23"/>
  <c r="X64" i="23"/>
  <c r="E58" i="26"/>
  <c r="F64" i="23"/>
  <c r="BH60" i="9"/>
  <c r="C46" i="11"/>
  <c r="C47" i="16" s="1"/>
  <c r="AD136" i="1"/>
  <c r="AD140" i="1" s="1"/>
  <c r="W136" i="1"/>
  <c r="W140" i="1" s="1"/>
  <c r="BD136" i="1"/>
  <c r="BD140" i="1" s="1"/>
  <c r="L136" i="1"/>
  <c r="L140" i="1" s="1"/>
  <c r="AQ136" i="1"/>
  <c r="AQ140" i="1" s="1"/>
  <c r="BS136" i="1"/>
  <c r="BS140" i="1" s="1"/>
  <c r="AE136" i="1"/>
  <c r="AE140" i="1" s="1"/>
  <c r="AY136" i="1"/>
  <c r="AY140" i="1" s="1"/>
  <c r="BQ136" i="1"/>
  <c r="BQ140" i="1" s="1"/>
  <c r="BW136" i="1"/>
  <c r="BW140" i="1" s="1"/>
  <c r="AZ136" i="1"/>
  <c r="AZ140" i="1" s="1"/>
  <c r="J136" i="1"/>
  <c r="J140" i="1" s="1"/>
  <c r="I136" i="1"/>
  <c r="I140" i="1" s="1"/>
  <c r="AI136" i="1"/>
  <c r="AI140" i="1" s="1"/>
  <c r="R136" i="1"/>
  <c r="R140" i="1" s="1"/>
  <c r="AU136" i="1"/>
  <c r="AU140" i="1" s="1"/>
  <c r="U136" i="1"/>
  <c r="U140" i="1" s="1"/>
  <c r="AV136" i="1"/>
  <c r="AV140" i="1" s="1"/>
  <c r="BV136" i="1"/>
  <c r="BV140" i="1" s="1"/>
  <c r="H136" i="1"/>
  <c r="H140" i="1" s="1"/>
  <c r="AR136" i="1"/>
  <c r="AR140" i="1" s="1"/>
  <c r="AA136" i="1"/>
  <c r="AA140" i="1" s="1"/>
  <c r="AS136" i="1"/>
  <c r="AS140" i="1" s="1"/>
  <c r="BC136" i="1"/>
  <c r="BC140" i="1" s="1"/>
  <c r="AK136" i="1"/>
  <c r="AK140" i="1" s="1"/>
  <c r="BJ136" i="1"/>
  <c r="BJ140" i="1" s="1"/>
  <c r="T136" i="1"/>
  <c r="T140" i="1" s="1"/>
  <c r="BY136" i="1"/>
  <c r="BY140" i="1" s="1"/>
  <c r="BT136" i="1"/>
  <c r="BT140" i="1" s="1"/>
  <c r="P136" i="1"/>
  <c r="P140" i="1" s="1"/>
  <c r="BB136" i="1"/>
  <c r="BB140" i="1" s="1"/>
  <c r="AM136" i="1"/>
  <c r="AM140" i="1" s="1"/>
  <c r="BP136" i="1"/>
  <c r="BP140" i="1" s="1"/>
  <c r="BR136" i="1"/>
  <c r="BR140" i="1" s="1"/>
  <c r="BK136" i="1"/>
  <c r="BK140" i="1" s="1"/>
  <c r="BF136" i="1"/>
  <c r="BF140" i="1" s="1"/>
  <c r="AT136" i="1"/>
  <c r="AT140" i="1" s="1"/>
  <c r="BO136" i="1"/>
  <c r="BO140" i="1" s="1"/>
  <c r="BU136" i="1"/>
  <c r="BU140" i="1" s="1"/>
  <c r="AN136" i="1"/>
  <c r="AN140" i="1" s="1"/>
  <c r="O136" i="1"/>
  <c r="O140" i="1" s="1"/>
  <c r="Q136" i="1"/>
  <c r="Q140" i="1" s="1"/>
  <c r="M136" i="1"/>
  <c r="M140" i="1" s="1"/>
  <c r="BG136" i="1"/>
  <c r="BG140" i="1" s="1"/>
  <c r="O25" i="23"/>
  <c r="E19" i="26"/>
  <c r="O33" i="23"/>
  <c r="E27" i="26"/>
  <c r="X51" i="23"/>
  <c r="E45" i="26"/>
  <c r="X54" i="23"/>
  <c r="E48" i="26"/>
  <c r="O15" i="23"/>
  <c r="E9" i="26"/>
  <c r="F11" i="23"/>
  <c r="E5" i="26"/>
  <c r="X67" i="23"/>
  <c r="E61" i="26"/>
  <c r="F57" i="23"/>
  <c r="E51" i="26"/>
  <c r="X56" i="23"/>
  <c r="E50" i="26"/>
  <c r="F48" i="23"/>
  <c r="E42" i="26"/>
  <c r="X27" i="23"/>
  <c r="E21" i="26"/>
  <c r="F28" i="23"/>
  <c r="E22" i="26"/>
  <c r="X30" i="23"/>
  <c r="E24" i="26"/>
  <c r="X29" i="23"/>
  <c r="E23" i="26"/>
  <c r="X80" i="23"/>
  <c r="E74" i="26"/>
  <c r="X37" i="23"/>
  <c r="E31" i="26"/>
  <c r="X36" i="23"/>
  <c r="E30" i="26"/>
  <c r="F79" i="23"/>
  <c r="E73" i="26"/>
  <c r="X46" i="23"/>
  <c r="E40" i="26"/>
  <c r="X62" i="23"/>
  <c r="E56" i="26"/>
  <c r="X13" i="23"/>
  <c r="E7" i="26"/>
  <c r="O31" i="23"/>
  <c r="E25" i="26"/>
  <c r="F24" i="23"/>
  <c r="E18" i="26"/>
  <c r="F45" i="23"/>
  <c r="E39" i="26"/>
  <c r="O68" i="23"/>
  <c r="E62" i="26"/>
  <c r="X47" i="23"/>
  <c r="E41" i="26"/>
  <c r="X39" i="23"/>
  <c r="E33" i="26"/>
  <c r="O70" i="23"/>
  <c r="E64" i="26"/>
  <c r="X44" i="23"/>
  <c r="E38" i="26"/>
  <c r="X16" i="23"/>
  <c r="E10" i="26"/>
  <c r="O14" i="23"/>
  <c r="E8" i="26"/>
  <c r="X60" i="23"/>
  <c r="E54" i="26"/>
  <c r="X66" i="23"/>
  <c r="E60" i="26"/>
  <c r="F23" i="23"/>
  <c r="E17" i="26"/>
  <c r="X18" i="23"/>
  <c r="E12" i="26"/>
  <c r="X22" i="23"/>
  <c r="E16" i="26"/>
  <c r="X9" i="23"/>
  <c r="E3" i="26"/>
  <c r="F63" i="23"/>
  <c r="E57" i="26"/>
  <c r="O58" i="23"/>
  <c r="E52" i="26"/>
  <c r="F34" i="23"/>
  <c r="E28" i="26"/>
  <c r="X50" i="23"/>
  <c r="E44" i="26"/>
  <c r="O53" i="23"/>
  <c r="E47" i="26"/>
  <c r="X38" i="23"/>
  <c r="E32" i="26"/>
  <c r="X52" i="23"/>
  <c r="E46" i="26"/>
  <c r="F37" i="23"/>
  <c r="O37" i="23"/>
  <c r="C44" i="13"/>
  <c r="O24" i="23"/>
  <c r="F31" i="23"/>
  <c r="X24" i="23"/>
  <c r="O60" i="23"/>
  <c r="F14" i="23"/>
  <c r="F60" i="23"/>
  <c r="F66" i="23"/>
  <c r="X31" i="23"/>
  <c r="O9" i="23"/>
  <c r="X11" i="23"/>
  <c r="O27" i="23"/>
  <c r="O28" i="23"/>
  <c r="F39" i="23"/>
  <c r="K136" i="1"/>
  <c r="K140" i="1" s="1"/>
  <c r="D136" i="1"/>
  <c r="D140" i="1" s="1"/>
  <c r="Y136" i="1"/>
  <c r="Y140" i="1" s="1"/>
  <c r="BE136" i="1"/>
  <c r="BE140" i="1" s="1"/>
  <c r="AH136" i="1"/>
  <c r="AH140" i="1" s="1"/>
  <c r="N136" i="1"/>
  <c r="N140" i="1" s="1"/>
  <c r="F136" i="1"/>
  <c r="F140" i="1" s="1"/>
  <c r="AW136" i="1"/>
  <c r="AW140" i="1" s="1"/>
  <c r="BN136" i="1"/>
  <c r="BN140" i="1" s="1"/>
  <c r="AO136" i="1"/>
  <c r="AO140" i="1" s="1"/>
  <c r="BM136" i="1"/>
  <c r="BM140" i="1" s="1"/>
  <c r="Z136" i="1"/>
  <c r="Z140" i="1" s="1"/>
  <c r="AJ136" i="1"/>
  <c r="AJ140" i="1" s="1"/>
  <c r="G136" i="1"/>
  <c r="G140" i="1" s="1"/>
  <c r="AP136" i="1"/>
  <c r="AP140" i="1" s="1"/>
  <c r="E136" i="1"/>
  <c r="E140" i="1" s="1"/>
  <c r="X136" i="1"/>
  <c r="X140" i="1" s="1"/>
  <c r="V136" i="1"/>
  <c r="V140" i="1" s="1"/>
  <c r="BZ136" i="1"/>
  <c r="BZ140" i="1" s="1"/>
  <c r="AL136" i="1"/>
  <c r="AL140" i="1" s="1"/>
  <c r="AX136" i="1"/>
  <c r="AX140" i="1" s="1"/>
  <c r="BX136" i="1"/>
  <c r="BX140" i="1" s="1"/>
  <c r="S136" i="1"/>
  <c r="S140" i="1" s="1"/>
  <c r="AF136" i="1"/>
  <c r="AF140" i="1" s="1"/>
  <c r="BA136" i="1"/>
  <c r="BA140" i="1" s="1"/>
  <c r="AG136" i="1"/>
  <c r="AG140" i="1" s="1"/>
  <c r="BI136" i="1"/>
  <c r="BI140" i="1" s="1"/>
  <c r="F27" i="23"/>
  <c r="X28" i="23"/>
  <c r="F9" i="23"/>
  <c r="O18" i="23"/>
  <c r="F18" i="23"/>
  <c r="F22" i="23"/>
  <c r="O22" i="23"/>
  <c r="C132" i="1"/>
  <c r="C133" i="13" s="1"/>
  <c r="C95" i="13"/>
  <c r="BL132" i="1"/>
  <c r="D133" i="13" s="1"/>
  <c r="D95" i="13"/>
  <c r="D73" i="13"/>
  <c r="BL129" i="1"/>
  <c r="C130" i="13"/>
  <c r="F21" i="1"/>
  <c r="F115" i="1" s="1"/>
  <c r="F122" i="1" s="1"/>
  <c r="F126" i="1" s="1"/>
  <c r="N21" i="1"/>
  <c r="N115" i="1" s="1"/>
  <c r="N122" i="1" s="1"/>
  <c r="N126" i="1" s="1"/>
  <c r="V21" i="1"/>
  <c r="V115" i="1" s="1"/>
  <c r="V122" i="1" s="1"/>
  <c r="V126" i="1" s="1"/>
  <c r="AD21" i="1"/>
  <c r="AD115" i="1" s="1"/>
  <c r="AD122" i="1" s="1"/>
  <c r="AD126" i="1" s="1"/>
  <c r="AD143" i="1" s="1"/>
  <c r="AL21" i="1"/>
  <c r="AL115" i="1" s="1"/>
  <c r="AL122" i="1" s="1"/>
  <c r="AL126" i="1" s="1"/>
  <c r="AT21" i="1"/>
  <c r="AT115" i="1" s="1"/>
  <c r="AT122" i="1" s="1"/>
  <c r="AT126" i="1" s="1"/>
  <c r="AT143" i="1" s="1"/>
  <c r="BB21" i="1"/>
  <c r="BB115" i="1" s="1"/>
  <c r="BB122" i="1" s="1"/>
  <c r="BB126" i="1" s="1"/>
  <c r="BB143" i="1" s="1"/>
  <c r="BO21" i="1"/>
  <c r="BO115" i="1" s="1"/>
  <c r="BO122" i="1" s="1"/>
  <c r="BO126" i="1" s="1"/>
  <c r="BO143" i="1" s="1"/>
  <c r="G21" i="1"/>
  <c r="G115" i="1" s="1"/>
  <c r="G122" i="1" s="1"/>
  <c r="G126" i="1" s="1"/>
  <c r="W21" i="1"/>
  <c r="W115" i="1" s="1"/>
  <c r="W122" i="1" s="1"/>
  <c r="W126" i="1" s="1"/>
  <c r="W143" i="1" s="1"/>
  <c r="BK21" i="1"/>
  <c r="BK115" i="1" s="1"/>
  <c r="BK122" i="1" s="1"/>
  <c r="BK126" i="1" s="1"/>
  <c r="BK143" i="1" s="1"/>
  <c r="BP21" i="1"/>
  <c r="BP115" i="1" s="1"/>
  <c r="BP122" i="1" s="1"/>
  <c r="BP126" i="1" s="1"/>
  <c r="BP143" i="1" s="1"/>
  <c r="R21" i="1"/>
  <c r="R115" i="1" s="1"/>
  <c r="R122" i="1" s="1"/>
  <c r="R126" i="1" s="1"/>
  <c r="R143" i="1" s="1"/>
  <c r="AG21" i="1"/>
  <c r="AG115" i="1" s="1"/>
  <c r="AG122" i="1" s="1"/>
  <c r="AG126" i="1" s="1"/>
  <c r="AW21" i="1"/>
  <c r="AW115" i="1" s="1"/>
  <c r="AW122" i="1" s="1"/>
  <c r="AW126" i="1" s="1"/>
  <c r="K21" i="1"/>
  <c r="K115" i="1" s="1"/>
  <c r="K122" i="1" s="1"/>
  <c r="K126" i="1" s="1"/>
  <c r="AA21" i="1"/>
  <c r="AA115" i="1" s="1"/>
  <c r="AA122" i="1" s="1"/>
  <c r="AA126" i="1" s="1"/>
  <c r="AA143" i="1" s="1"/>
  <c r="AQ21" i="1"/>
  <c r="AQ115" i="1" s="1"/>
  <c r="AQ122" i="1" s="1"/>
  <c r="AQ126" i="1" s="1"/>
  <c r="AQ143" i="1" s="1"/>
  <c r="BG21" i="1"/>
  <c r="BG115" i="1" s="1"/>
  <c r="BG122" i="1" s="1"/>
  <c r="BG126" i="1" s="1"/>
  <c r="BG143" i="1" s="1"/>
  <c r="BW21" i="1"/>
  <c r="BW115" i="1" s="1"/>
  <c r="BW122" i="1" s="1"/>
  <c r="BW126" i="1" s="1"/>
  <c r="BW143" i="1" s="1"/>
  <c r="AI21" i="1"/>
  <c r="AI115" i="1" s="1"/>
  <c r="AI122" i="1" s="1"/>
  <c r="AI126" i="1" s="1"/>
  <c r="AI143" i="1" s="1"/>
  <c r="AY21" i="1"/>
  <c r="AY115" i="1" s="1"/>
  <c r="AY122" i="1" s="1"/>
  <c r="AY126" i="1" s="1"/>
  <c r="AY143" i="1" s="1"/>
  <c r="I21" i="1"/>
  <c r="I115" i="1" s="1"/>
  <c r="I122" i="1" s="1"/>
  <c r="I126" i="1" s="1"/>
  <c r="I143" i="1" s="1"/>
  <c r="J21" i="1"/>
  <c r="J115" i="1" s="1"/>
  <c r="J122" i="1" s="1"/>
  <c r="J126" i="1" s="1"/>
  <c r="J143" i="1" s="1"/>
  <c r="Y21" i="1"/>
  <c r="Y115" i="1" s="1"/>
  <c r="Y122" i="1" s="1"/>
  <c r="Y126" i="1" s="1"/>
  <c r="Z21" i="1"/>
  <c r="Z115" i="1" s="1"/>
  <c r="Z122" i="1" s="1"/>
  <c r="Z126" i="1" s="1"/>
  <c r="AO21" i="1"/>
  <c r="AO115" i="1" s="1"/>
  <c r="AO122" i="1" s="1"/>
  <c r="AO126" i="1" s="1"/>
  <c r="AP21" i="1"/>
  <c r="AP115" i="1" s="1"/>
  <c r="AP122" i="1" s="1"/>
  <c r="AP126" i="1" s="1"/>
  <c r="AP143" i="1" s="1"/>
  <c r="BE21" i="1"/>
  <c r="BE115" i="1" s="1"/>
  <c r="BE122" i="1" s="1"/>
  <c r="BE126" i="1" s="1"/>
  <c r="BF21" i="1"/>
  <c r="BF115" i="1" s="1"/>
  <c r="BF122" i="1" s="1"/>
  <c r="BF126" i="1" s="1"/>
  <c r="BF143" i="1" s="1"/>
  <c r="BT21" i="1"/>
  <c r="BT115" i="1" s="1"/>
  <c r="BT122" i="1" s="1"/>
  <c r="BT126" i="1" s="1"/>
  <c r="BT143" i="1" s="1"/>
  <c r="BX21" i="1"/>
  <c r="BX115" i="1" s="1"/>
  <c r="BX122" i="1" s="1"/>
  <c r="BX126" i="1" s="1"/>
  <c r="O21" i="1"/>
  <c r="O115" i="1" s="1"/>
  <c r="O122" i="1" s="1"/>
  <c r="O126" i="1" s="1"/>
  <c r="O143" i="1" s="1"/>
  <c r="AE21" i="1"/>
  <c r="AE115" i="1" s="1"/>
  <c r="AE122" i="1" s="1"/>
  <c r="AE126" i="1" s="1"/>
  <c r="AE143" i="1" s="1"/>
  <c r="AU21" i="1"/>
  <c r="AU115" i="1" s="1"/>
  <c r="AU122" i="1" s="1"/>
  <c r="AU126" i="1" s="1"/>
  <c r="AU143" i="1" s="1"/>
  <c r="BI21" i="1"/>
  <c r="BI115" i="1" s="1"/>
  <c r="BI122" i="1" s="1"/>
  <c r="BI126" i="1" s="1"/>
  <c r="BS21" i="1"/>
  <c r="BS115" i="1" s="1"/>
  <c r="BS122" i="1" s="1"/>
  <c r="BS126" i="1" s="1"/>
  <c r="BS143" i="1" s="1"/>
  <c r="BY21" i="1"/>
  <c r="BY115" i="1" s="1"/>
  <c r="BY122" i="1" s="1"/>
  <c r="BY126" i="1" s="1"/>
  <c r="BY143" i="1" s="1"/>
  <c r="C14" i="13"/>
  <c r="S21" i="1"/>
  <c r="S115" i="1" s="1"/>
  <c r="S122" i="1" s="1"/>
  <c r="S126" i="1" s="1"/>
  <c r="BZ21" i="1"/>
  <c r="BZ115" i="1" s="1"/>
  <c r="BZ122" i="1" s="1"/>
  <c r="BZ126" i="1" s="1"/>
  <c r="Q21" i="1"/>
  <c r="Q115" i="1" s="1"/>
  <c r="Q122" i="1" s="1"/>
  <c r="Q126" i="1" s="1"/>
  <c r="Q143" i="1" s="1"/>
  <c r="AH21" i="1"/>
  <c r="AH115" i="1" s="1"/>
  <c r="AH122" i="1" s="1"/>
  <c r="AH126" i="1" s="1"/>
  <c r="AX21" i="1"/>
  <c r="AX115" i="1" s="1"/>
  <c r="AX122" i="1" s="1"/>
  <c r="AX126" i="1" s="1"/>
  <c r="BL21" i="1"/>
  <c r="BV21" i="1"/>
  <c r="BV115" i="1" s="1"/>
  <c r="BV122" i="1" s="1"/>
  <c r="BV126" i="1" s="1"/>
  <c r="BV143" i="1" s="1"/>
  <c r="BU21" i="1"/>
  <c r="BU115" i="1" s="1"/>
  <c r="BU122" i="1" s="1"/>
  <c r="BU126" i="1" s="1"/>
  <c r="BU143" i="1" s="1"/>
  <c r="T21" i="1"/>
  <c r="T115" i="1" s="1"/>
  <c r="T122" i="1" s="1"/>
  <c r="T126" i="1" s="1"/>
  <c r="T143" i="1" s="1"/>
  <c r="AB21" i="1"/>
  <c r="AB115" i="1" s="1"/>
  <c r="AB122" i="1" s="1"/>
  <c r="AB126" i="1" s="1"/>
  <c r="AB143" i="1" s="1"/>
  <c r="BN21" i="1"/>
  <c r="BN115" i="1" s="1"/>
  <c r="BN122" i="1" s="1"/>
  <c r="BN126" i="1" s="1"/>
  <c r="BN143" i="1" s="1"/>
  <c r="U21" i="1"/>
  <c r="U115" i="1" s="1"/>
  <c r="U122" i="1" s="1"/>
  <c r="U126" i="1" s="1"/>
  <c r="U143" i="1" s="1"/>
  <c r="BD21" i="1"/>
  <c r="BD115" i="1" s="1"/>
  <c r="BD122" i="1" s="1"/>
  <c r="BD126" i="1" s="1"/>
  <c r="BD143" i="1" s="1"/>
  <c r="AN21" i="1"/>
  <c r="AN115" i="1" s="1"/>
  <c r="AN122" i="1" s="1"/>
  <c r="AN126" i="1" s="1"/>
  <c r="AN143" i="1" s="1"/>
  <c r="BC21" i="1"/>
  <c r="BC115" i="1" s="1"/>
  <c r="BC122" i="1" s="1"/>
  <c r="BC126" i="1" s="1"/>
  <c r="BC143" i="1" s="1"/>
  <c r="BA21" i="1"/>
  <c r="BA115" i="1" s="1"/>
  <c r="BA122" i="1" s="1"/>
  <c r="BA126" i="1" s="1"/>
  <c r="AJ21" i="1"/>
  <c r="AJ115" i="1" s="1"/>
  <c r="AJ122" i="1" s="1"/>
  <c r="AJ126" i="1" s="1"/>
  <c r="X21" i="1"/>
  <c r="X115" i="1" s="1"/>
  <c r="X122" i="1" s="1"/>
  <c r="X126" i="1" s="1"/>
  <c r="X143" i="1" s="1"/>
  <c r="BJ21" i="1"/>
  <c r="BJ115" i="1" s="1"/>
  <c r="BJ122" i="1" s="1"/>
  <c r="BJ126" i="1" s="1"/>
  <c r="BJ143" i="1" s="1"/>
  <c r="H21" i="1"/>
  <c r="H115" i="1" s="1"/>
  <c r="H122" i="1" s="1"/>
  <c r="H126" i="1" s="1"/>
  <c r="H143" i="1" s="1"/>
  <c r="AM21" i="1"/>
  <c r="AM115" i="1" s="1"/>
  <c r="AM122" i="1" s="1"/>
  <c r="AM126" i="1" s="1"/>
  <c r="AM143" i="1" s="1"/>
  <c r="AS21" i="1"/>
  <c r="AS115" i="1" s="1"/>
  <c r="AS122" i="1" s="1"/>
  <c r="AS126" i="1" s="1"/>
  <c r="AS143" i="1" s="1"/>
  <c r="AV21" i="1"/>
  <c r="AV115" i="1" s="1"/>
  <c r="AV122" i="1" s="1"/>
  <c r="AV126" i="1" s="1"/>
  <c r="AV143" i="1" s="1"/>
  <c r="BM21" i="1"/>
  <c r="BM115" i="1" s="1"/>
  <c r="BM122" i="1" s="1"/>
  <c r="BM126" i="1" s="1"/>
  <c r="BM143" i="1" s="1"/>
  <c r="AK21" i="1"/>
  <c r="AK115" i="1" s="1"/>
  <c r="AK122" i="1" s="1"/>
  <c r="AK126" i="1" s="1"/>
  <c r="AK143" i="1" s="1"/>
  <c r="P21" i="1"/>
  <c r="P115" i="1" s="1"/>
  <c r="P122" i="1" s="1"/>
  <c r="P126" i="1" s="1"/>
  <c r="P143" i="1" s="1"/>
  <c r="AR21" i="1"/>
  <c r="AR115" i="1" s="1"/>
  <c r="AR122" i="1" s="1"/>
  <c r="AR126" i="1" s="1"/>
  <c r="AR143" i="1" s="1"/>
  <c r="AF21" i="1"/>
  <c r="AF115" i="1" s="1"/>
  <c r="AF122" i="1" s="1"/>
  <c r="AF126" i="1" s="1"/>
  <c r="BQ21" i="1"/>
  <c r="BQ115" i="1" s="1"/>
  <c r="BQ122" i="1" s="1"/>
  <c r="BQ126" i="1" s="1"/>
  <c r="BQ143" i="1" s="1"/>
  <c r="AC21" i="1"/>
  <c r="AC115" i="1" s="1"/>
  <c r="AC122" i="1" s="1"/>
  <c r="AC126" i="1" s="1"/>
  <c r="AC143" i="1" s="1"/>
  <c r="D21" i="1"/>
  <c r="D115" i="1" s="1"/>
  <c r="D122" i="1" s="1"/>
  <c r="D126" i="1" s="1"/>
  <c r="L21" i="1"/>
  <c r="L115" i="1" s="1"/>
  <c r="L122" i="1" s="1"/>
  <c r="L126" i="1" s="1"/>
  <c r="L143" i="1" s="1"/>
  <c r="AZ21" i="1"/>
  <c r="AZ115" i="1" s="1"/>
  <c r="AZ122" i="1" s="1"/>
  <c r="AZ126" i="1" s="1"/>
  <c r="AZ143" i="1" s="1"/>
  <c r="M21" i="1"/>
  <c r="M115" i="1" s="1"/>
  <c r="M122" i="1" s="1"/>
  <c r="M126" i="1" s="1"/>
  <c r="M143" i="1" s="1"/>
  <c r="BR21" i="1"/>
  <c r="BR115" i="1" s="1"/>
  <c r="BR122" i="1" s="1"/>
  <c r="BR126" i="1" s="1"/>
  <c r="BR143" i="1" s="1"/>
  <c r="E21" i="1"/>
  <c r="E115" i="1" s="1"/>
  <c r="E122" i="1" s="1"/>
  <c r="E126" i="1" s="1"/>
  <c r="C21" i="1"/>
  <c r="O52" i="23"/>
  <c r="X15" i="23"/>
  <c r="F52" i="23"/>
  <c r="F15" i="23"/>
  <c r="BG60" i="9"/>
  <c r="F67" i="23"/>
  <c r="O34" i="23"/>
  <c r="F47" i="23"/>
  <c r="O67" i="23"/>
  <c r="X34" i="23"/>
  <c r="O47" i="23"/>
  <c r="F16" i="23"/>
  <c r="F46" i="23"/>
  <c r="X79" i="23"/>
  <c r="O16" i="23"/>
  <c r="X25" i="23"/>
  <c r="X58" i="23"/>
  <c r="O46" i="23"/>
  <c r="F30" i="23"/>
  <c r="F38" i="23"/>
  <c r="O30" i="23"/>
  <c r="O38" i="23"/>
  <c r="O79" i="23"/>
  <c r="O11" i="23"/>
  <c r="F62" i="23"/>
  <c r="F68" i="23"/>
  <c r="F58" i="23"/>
  <c r="X48" i="23"/>
  <c r="O39" i="23"/>
  <c r="O62" i="23"/>
  <c r="X68" i="23"/>
  <c r="O50" i="23"/>
  <c r="F53" i="23"/>
  <c r="F50" i="23"/>
  <c r="O13" i="23"/>
  <c r="X53" i="23"/>
  <c r="X70" i="23"/>
  <c r="O48" i="23"/>
  <c r="F13" i="23"/>
  <c r="O66" i="23"/>
  <c r="O80" i="23"/>
  <c r="X14" i="23"/>
  <c r="F80" i="23"/>
  <c r="F29" i="23"/>
  <c r="O29" i="23"/>
  <c r="X23" i="23"/>
  <c r="O23" i="23"/>
  <c r="F54" i="23"/>
  <c r="O54" i="23"/>
  <c r="D70" i="10"/>
  <c r="C70" i="10" s="1"/>
  <c r="C71" i="15" s="1"/>
  <c r="F33" i="23"/>
  <c r="F36" i="23"/>
  <c r="X33" i="23"/>
  <c r="O36" i="23"/>
  <c r="F56" i="23"/>
  <c r="F25" i="23"/>
  <c r="O56" i="23"/>
  <c r="F51" i="23"/>
  <c r="O57" i="23"/>
  <c r="O51" i="23"/>
  <c r="X57" i="23"/>
  <c r="X63" i="23"/>
  <c r="X45" i="23"/>
  <c r="O44" i="23"/>
  <c r="F44" i="23"/>
  <c r="O63" i="23"/>
  <c r="O45" i="23"/>
  <c r="F70" i="23"/>
  <c r="X40" i="23"/>
  <c r="F40" i="23"/>
  <c r="O40" i="23"/>
  <c r="X82" i="23"/>
  <c r="O82" i="23"/>
  <c r="F82" i="23"/>
  <c r="X35" i="23"/>
  <c r="F35" i="23"/>
  <c r="O35" i="23"/>
  <c r="X41" i="23"/>
  <c r="F41" i="23"/>
  <c r="O41" i="23"/>
  <c r="X26" i="23"/>
  <c r="O26" i="23"/>
  <c r="F26" i="23"/>
  <c r="X61" i="23"/>
  <c r="O61" i="23"/>
  <c r="F61" i="23"/>
  <c r="X43" i="23"/>
  <c r="F43" i="23"/>
  <c r="O43" i="23"/>
  <c r="X81" i="23"/>
  <c r="O81" i="23"/>
  <c r="F81" i="23"/>
  <c r="X42" i="23"/>
  <c r="F42" i="23"/>
  <c r="O42" i="23"/>
  <c r="X65" i="23"/>
  <c r="F65" i="23"/>
  <c r="O65" i="23"/>
  <c r="X73" i="23"/>
  <c r="F73" i="23"/>
  <c r="O73" i="23"/>
  <c r="X77" i="23"/>
  <c r="O77" i="23"/>
  <c r="F77" i="23"/>
  <c r="X76" i="23"/>
  <c r="F76" i="23"/>
  <c r="O76" i="23"/>
  <c r="C52" i="11"/>
  <c r="C53" i="16" s="1"/>
  <c r="D53" i="16"/>
  <c r="X10" i="23"/>
  <c r="O10" i="23"/>
  <c r="F10" i="23"/>
  <c r="X74" i="23"/>
  <c r="F74" i="23"/>
  <c r="O74" i="23"/>
  <c r="X75" i="23"/>
  <c r="O75" i="23"/>
  <c r="F75" i="23"/>
  <c r="X20" i="23"/>
  <c r="F20" i="23"/>
  <c r="O20" i="23"/>
  <c r="X71" i="23"/>
  <c r="O71" i="23"/>
  <c r="F71" i="23"/>
  <c r="X55" i="23"/>
  <c r="F55" i="23"/>
  <c r="O55" i="23"/>
  <c r="X69" i="23"/>
  <c r="O69" i="23"/>
  <c r="F69" i="23"/>
  <c r="C53" i="11"/>
  <c r="C54" i="16" s="1"/>
  <c r="D54" i="16"/>
  <c r="X21" i="23"/>
  <c r="O21" i="23"/>
  <c r="F21" i="23"/>
  <c r="X59" i="23"/>
  <c r="F59" i="23"/>
  <c r="O59" i="23"/>
  <c r="C51" i="11"/>
  <c r="C52" i="16" s="1"/>
  <c r="D52" i="16"/>
  <c r="X49" i="23"/>
  <c r="O49" i="23"/>
  <c r="F49" i="23"/>
  <c r="X32" i="23"/>
  <c r="F32" i="23"/>
  <c r="O32" i="23"/>
  <c r="X12" i="23"/>
  <c r="O12" i="23"/>
  <c r="F12" i="23"/>
  <c r="X72" i="23"/>
  <c r="F72" i="23"/>
  <c r="O72" i="23"/>
  <c r="X17" i="23"/>
  <c r="O17" i="23"/>
  <c r="F17" i="23"/>
  <c r="X19" i="23"/>
  <c r="F19" i="23"/>
  <c r="O19" i="23"/>
  <c r="X78" i="23"/>
  <c r="F78" i="23"/>
  <c r="O78" i="23"/>
  <c r="C57" i="9" l="1"/>
  <c r="C58" i="17" s="1"/>
  <c r="AG64" i="23"/>
  <c r="Y143" i="1"/>
  <c r="BE143" i="1"/>
  <c r="BI143" i="1"/>
  <c r="AO143" i="1"/>
  <c r="AF143" i="1"/>
  <c r="BZ143" i="1"/>
  <c r="G143" i="1"/>
  <c r="AW143" i="1"/>
  <c r="K143" i="1"/>
  <c r="E143" i="1"/>
  <c r="AL143" i="1"/>
  <c r="AJ143" i="1"/>
  <c r="N143" i="1"/>
  <c r="D143" i="1"/>
  <c r="BA143" i="1"/>
  <c r="AX143" i="1"/>
  <c r="AH143" i="1"/>
  <c r="Z143" i="1"/>
  <c r="V143" i="1"/>
  <c r="S143" i="1"/>
  <c r="BX143" i="1"/>
  <c r="F143" i="1"/>
  <c r="AG143" i="1"/>
  <c r="AG24" i="23"/>
  <c r="AG31" i="23"/>
  <c r="AG37" i="23"/>
  <c r="C60" i="9"/>
  <c r="C61" i="17" s="1"/>
  <c r="AG60" i="23"/>
  <c r="AG11" i="23"/>
  <c r="AG66" i="23"/>
  <c r="AG9" i="23"/>
  <c r="AG27" i="23"/>
  <c r="AG14" i="23"/>
  <c r="AG28" i="23"/>
  <c r="AG39" i="23"/>
  <c r="C136" i="1"/>
  <c r="AG15" i="23"/>
  <c r="AG30" i="23"/>
  <c r="AG22" i="23"/>
  <c r="AG18" i="23"/>
  <c r="AG47" i="23"/>
  <c r="D130" i="13"/>
  <c r="BL136" i="1"/>
  <c r="C22" i="13"/>
  <c r="C115" i="1"/>
  <c r="BL115" i="1"/>
  <c r="D22" i="13"/>
  <c r="AG13" i="23"/>
  <c r="AG52" i="23"/>
  <c r="AG46" i="23"/>
  <c r="AG67" i="23"/>
  <c r="AG79" i="23"/>
  <c r="AG34" i="23"/>
  <c r="AG25" i="23"/>
  <c r="AG16" i="23"/>
  <c r="AG50" i="23"/>
  <c r="AG62" i="23"/>
  <c r="AG58" i="23"/>
  <c r="AG68" i="23"/>
  <c r="AG53" i="23"/>
  <c r="AG38" i="23"/>
  <c r="E17" i="14"/>
  <c r="AG56" i="23"/>
  <c r="AG54" i="23"/>
  <c r="AG69" i="23"/>
  <c r="AG48" i="23"/>
  <c r="AG23" i="23"/>
  <c r="AG80" i="23"/>
  <c r="AG33" i="23"/>
  <c r="AG29" i="23"/>
  <c r="AG49" i="23"/>
  <c r="AG51" i="23"/>
  <c r="AG70" i="23"/>
  <c r="AG45" i="23"/>
  <c r="AG78" i="23"/>
  <c r="AG44" i="23"/>
  <c r="AG71" i="23"/>
  <c r="AG73" i="23"/>
  <c r="AG42" i="23"/>
  <c r="AG35" i="23"/>
  <c r="AG36" i="23"/>
  <c r="AG77" i="23"/>
  <c r="AG74" i="23"/>
  <c r="AG41" i="23"/>
  <c r="AG82" i="23"/>
  <c r="AG63" i="23"/>
  <c r="D71" i="15"/>
  <c r="AG59" i="23"/>
  <c r="AG57" i="23"/>
  <c r="AG19" i="23"/>
  <c r="AG72" i="23"/>
  <c r="AG32" i="23"/>
  <c r="AG65" i="23"/>
  <c r="AG12" i="23"/>
  <c r="AG20" i="23"/>
  <c r="AG21" i="23"/>
  <c r="AG43" i="23"/>
  <c r="AG55" i="23"/>
  <c r="AG40" i="23"/>
  <c r="AG61" i="23"/>
  <c r="AG26" i="23"/>
  <c r="AG75" i="23"/>
  <c r="F8" i="19"/>
  <c r="E2" i="26" s="1"/>
  <c r="E77" i="26" s="1"/>
  <c r="C55" i="11"/>
  <c r="D56" i="16"/>
  <c r="AG17" i="23"/>
  <c r="AG10" i="23"/>
  <c r="AG76" i="23"/>
  <c r="AG81" i="23"/>
  <c r="C137" i="13" l="1"/>
  <c r="C140" i="1"/>
  <c r="C141" i="13" s="1"/>
  <c r="I17" i="14"/>
  <c r="K17" i="14"/>
  <c r="G17" i="14"/>
  <c r="C56" i="16"/>
  <c r="D137" i="13"/>
  <c r="BL140" i="1"/>
  <c r="D141" i="13" s="1"/>
  <c r="C122" i="1"/>
  <c r="C126" i="1" s="1"/>
  <c r="C116" i="13"/>
  <c r="BL122" i="1"/>
  <c r="D116" i="13"/>
  <c r="X8" i="23"/>
  <c r="X83" i="23" s="1"/>
  <c r="Q24" i="24" s="1"/>
  <c r="F8" i="23"/>
  <c r="F83" i="23" s="1"/>
  <c r="E24" i="24" s="1"/>
  <c r="O8" i="23"/>
  <c r="O83" i="23" s="1"/>
  <c r="K24" i="24" s="1"/>
  <c r="F83" i="19"/>
  <c r="E16" i="14"/>
  <c r="I16" i="14" l="1"/>
  <c r="K16" i="14"/>
  <c r="M17" i="14"/>
  <c r="G16" i="14"/>
  <c r="C123" i="13"/>
  <c r="BL126" i="1"/>
  <c r="D123" i="13"/>
  <c r="AG8" i="23"/>
  <c r="M16" i="14" l="1"/>
  <c r="C127" i="13"/>
  <c r="C143" i="1"/>
  <c r="BL143" i="1"/>
  <c r="D127" i="13"/>
  <c r="AG83" i="23"/>
  <c r="W24" i="24" s="1"/>
  <c r="E151" i="1" l="1"/>
  <c r="C9" i="19" s="1"/>
  <c r="B3" i="26" s="1"/>
  <c r="BH151" i="1"/>
  <c r="C64" i="19" s="1"/>
  <c r="BH144" i="1"/>
  <c r="C144" i="13"/>
  <c r="M151" i="1"/>
  <c r="C17" i="19" s="1"/>
  <c r="B11" i="26" s="1"/>
  <c r="AB151" i="1"/>
  <c r="C32" i="19" s="1"/>
  <c r="B26" i="26" s="1"/>
  <c r="AA151" i="1"/>
  <c r="C31" i="19" s="1"/>
  <c r="B25" i="26" s="1"/>
  <c r="AE151" i="1"/>
  <c r="C35" i="19" s="1"/>
  <c r="B29" i="26" s="1"/>
  <c r="AJ144" i="1"/>
  <c r="J144" i="1"/>
  <c r="Z144" i="1"/>
  <c r="BU144" i="1"/>
  <c r="AC144" i="1"/>
  <c r="BY144" i="1"/>
  <c r="BB144" i="1"/>
  <c r="BQ144" i="1"/>
  <c r="BS144" i="1"/>
  <c r="AT144" i="1"/>
  <c r="AF144" i="1"/>
  <c r="BI144" i="1"/>
  <c r="AL144" i="1"/>
  <c r="U144" i="1"/>
  <c r="BG144" i="1"/>
  <c r="M144" i="1"/>
  <c r="AB144" i="1"/>
  <c r="AA144" i="1"/>
  <c r="AE144" i="1"/>
  <c r="T151" i="1"/>
  <c r="C24" i="19" s="1"/>
  <c r="B18" i="26" s="1"/>
  <c r="K151" i="1"/>
  <c r="C15" i="19" s="1"/>
  <c r="B9" i="26" s="1"/>
  <c r="D151" i="1"/>
  <c r="BT151" i="1"/>
  <c r="C76" i="19" s="1"/>
  <c r="B70" i="26" s="1"/>
  <c r="BF151" i="1"/>
  <c r="C62" i="19" s="1"/>
  <c r="B56" i="26" s="1"/>
  <c r="Q151" i="1"/>
  <c r="C21" i="19" s="1"/>
  <c r="B15" i="26" s="1"/>
  <c r="AS151" i="1"/>
  <c r="C49" i="19" s="1"/>
  <c r="B43" i="26" s="1"/>
  <c r="BE151" i="1"/>
  <c r="C61" i="19" s="1"/>
  <c r="B55" i="26" s="1"/>
  <c r="BN151" i="1"/>
  <c r="C70" i="19" s="1"/>
  <c r="B64" i="26" s="1"/>
  <c r="AM151" i="1"/>
  <c r="C43" i="19" s="1"/>
  <c r="B37" i="26" s="1"/>
  <c r="AP151" i="1"/>
  <c r="C46" i="19" s="1"/>
  <c r="B40" i="26" s="1"/>
  <c r="BR151" i="1"/>
  <c r="C74" i="19" s="1"/>
  <c r="B68" i="26" s="1"/>
  <c r="AH151" i="1"/>
  <c r="C38" i="19" s="1"/>
  <c r="B32" i="26" s="1"/>
  <c r="BK151" i="1"/>
  <c r="C67" i="19" s="1"/>
  <c r="B61" i="26" s="1"/>
  <c r="AZ151" i="1"/>
  <c r="C56" i="19" s="1"/>
  <c r="B50" i="26" s="1"/>
  <c r="BZ151" i="1"/>
  <c r="C82" i="19" s="1"/>
  <c r="B76" i="26" s="1"/>
  <c r="G151" i="1"/>
  <c r="C11" i="19" s="1"/>
  <c r="B5" i="26" s="1"/>
  <c r="T144" i="1"/>
  <c r="K144" i="1"/>
  <c r="D144" i="1"/>
  <c r="BT144" i="1"/>
  <c r="BF144" i="1"/>
  <c r="Q144" i="1"/>
  <c r="AS144" i="1"/>
  <c r="BE144" i="1"/>
  <c r="BN144" i="1"/>
  <c r="AM144" i="1"/>
  <c r="AP144" i="1"/>
  <c r="BR144" i="1"/>
  <c r="AH144" i="1"/>
  <c r="BK144" i="1"/>
  <c r="AZ144" i="1"/>
  <c r="BZ144" i="1"/>
  <c r="G144" i="1"/>
  <c r="L151" i="1"/>
  <c r="C16" i="19" s="1"/>
  <c r="B10" i="26" s="1"/>
  <c r="S151" i="1"/>
  <c r="C23" i="19" s="1"/>
  <c r="B17" i="26" s="1"/>
  <c r="BO151" i="1"/>
  <c r="C71" i="19" s="1"/>
  <c r="B65" i="26" s="1"/>
  <c r="AV151" i="1"/>
  <c r="C52" i="19" s="1"/>
  <c r="B46" i="26" s="1"/>
  <c r="I151" i="1"/>
  <c r="C13" i="19" s="1"/>
  <c r="B7" i="26" s="1"/>
  <c r="BJ151" i="1"/>
  <c r="C66" i="19" s="1"/>
  <c r="B60" i="26" s="1"/>
  <c r="BC151" i="1"/>
  <c r="C59" i="19" s="1"/>
  <c r="B53" i="26" s="1"/>
  <c r="AY151" i="1"/>
  <c r="C55" i="19" s="1"/>
  <c r="B49" i="26" s="1"/>
  <c r="W151" i="1"/>
  <c r="C27" i="19" s="1"/>
  <c r="B21" i="26" s="1"/>
  <c r="AN151" i="1"/>
  <c r="C44" i="19" s="1"/>
  <c r="B38" i="26" s="1"/>
  <c r="AI151" i="1"/>
  <c r="C39" i="19" s="1"/>
  <c r="B33" i="26" s="1"/>
  <c r="V151" i="1"/>
  <c r="C26" i="19" s="1"/>
  <c r="B20" i="26" s="1"/>
  <c r="BD151" i="1"/>
  <c r="C60" i="19" s="1"/>
  <c r="B54" i="26" s="1"/>
  <c r="BW151" i="1"/>
  <c r="C79" i="19" s="1"/>
  <c r="B73" i="26" s="1"/>
  <c r="AR151" i="1"/>
  <c r="C48" i="19" s="1"/>
  <c r="B42" i="26" s="1"/>
  <c r="AU151" i="1"/>
  <c r="C51" i="19" s="1"/>
  <c r="B45" i="26" s="1"/>
  <c r="AD151" i="1"/>
  <c r="C34" i="19" s="1"/>
  <c r="B28" i="26" s="1"/>
  <c r="AK151" i="1"/>
  <c r="C41" i="19" s="1"/>
  <c r="B35" i="26" s="1"/>
  <c r="O151" i="1"/>
  <c r="C19" i="19" s="1"/>
  <c r="B13" i="26" s="1"/>
  <c r="N151" i="1"/>
  <c r="C18" i="19" s="1"/>
  <c r="B12" i="26" s="1"/>
  <c r="L144" i="1"/>
  <c r="S144" i="1"/>
  <c r="BO144" i="1"/>
  <c r="AV144" i="1"/>
  <c r="I144" i="1"/>
  <c r="BJ144" i="1"/>
  <c r="BC144" i="1"/>
  <c r="AY144" i="1"/>
  <c r="W144" i="1"/>
  <c r="AN144" i="1"/>
  <c r="AI144" i="1"/>
  <c r="V144" i="1"/>
  <c r="BD144" i="1"/>
  <c r="BW144" i="1"/>
  <c r="AR144" i="1"/>
  <c r="AU144" i="1"/>
  <c r="AD144" i="1"/>
  <c r="AK144" i="1"/>
  <c r="O144" i="1"/>
  <c r="N144" i="1"/>
  <c r="BM151" i="1"/>
  <c r="C69" i="19" s="1"/>
  <c r="B63" i="26" s="1"/>
  <c r="BX151" i="1"/>
  <c r="C80" i="19" s="1"/>
  <c r="B74" i="26" s="1"/>
  <c r="F151" i="1"/>
  <c r="C10" i="19" s="1"/>
  <c r="B4" i="26" s="1"/>
  <c r="BA151" i="1"/>
  <c r="C57" i="19" s="1"/>
  <c r="B51" i="26" s="1"/>
  <c r="AW151" i="1"/>
  <c r="C53" i="19" s="1"/>
  <c r="B47" i="26" s="1"/>
  <c r="AQ151" i="1"/>
  <c r="C47" i="19" s="1"/>
  <c r="B41" i="26" s="1"/>
  <c r="BV151" i="1"/>
  <c r="C78" i="19" s="1"/>
  <c r="B72" i="26" s="1"/>
  <c r="AG151" i="1"/>
  <c r="C37" i="19" s="1"/>
  <c r="B31" i="26" s="1"/>
  <c r="R151" i="1"/>
  <c r="C22" i="19" s="1"/>
  <c r="B16" i="26" s="1"/>
  <c r="AX151" i="1"/>
  <c r="C54" i="19" s="1"/>
  <c r="B48" i="26" s="1"/>
  <c r="BP151" i="1"/>
  <c r="C72" i="19" s="1"/>
  <c r="B66" i="26" s="1"/>
  <c r="H151" i="1"/>
  <c r="C12" i="19" s="1"/>
  <c r="B6" i="26" s="1"/>
  <c r="AO151" i="1"/>
  <c r="C45" i="19" s="1"/>
  <c r="B39" i="26" s="1"/>
  <c r="X151" i="1"/>
  <c r="C28" i="19" s="1"/>
  <c r="B22" i="26" s="1"/>
  <c r="Y151" i="1"/>
  <c r="C29" i="19" s="1"/>
  <c r="B23" i="26" s="1"/>
  <c r="P151" i="1"/>
  <c r="C20" i="19" s="1"/>
  <c r="B14" i="26" s="1"/>
  <c r="BM144" i="1"/>
  <c r="BX144" i="1"/>
  <c r="F144" i="1"/>
  <c r="BA144" i="1"/>
  <c r="AW144" i="1"/>
  <c r="AQ144" i="1"/>
  <c r="BV144" i="1"/>
  <c r="AG144" i="1"/>
  <c r="R144" i="1"/>
  <c r="E144" i="1"/>
  <c r="AX144" i="1"/>
  <c r="BP144" i="1"/>
  <c r="H144" i="1"/>
  <c r="AO144" i="1"/>
  <c r="J151" i="1"/>
  <c r="C14" i="19" s="1"/>
  <c r="B8" i="26" s="1"/>
  <c r="AL151" i="1"/>
  <c r="C42" i="19" s="1"/>
  <c r="B36" i="26" s="1"/>
  <c r="Z151" i="1"/>
  <c r="C30" i="19" s="1"/>
  <c r="B24" i="26" s="1"/>
  <c r="BQ151" i="1"/>
  <c r="C73" i="19" s="1"/>
  <c r="B67" i="26" s="1"/>
  <c r="U151" i="1"/>
  <c r="C25" i="19" s="1"/>
  <c r="B19" i="26" s="1"/>
  <c r="BU151" i="1"/>
  <c r="C77" i="19" s="1"/>
  <c r="B71" i="26" s="1"/>
  <c r="BG151" i="1"/>
  <c r="C63" i="19" s="1"/>
  <c r="B57" i="26" s="1"/>
  <c r="X144" i="1"/>
  <c r="AC151" i="1"/>
  <c r="C33" i="19" s="1"/>
  <c r="B27" i="26" s="1"/>
  <c r="BS151" i="1"/>
  <c r="C75" i="19" s="1"/>
  <c r="B69" i="26" s="1"/>
  <c r="Y144" i="1"/>
  <c r="BY151" i="1"/>
  <c r="C81" i="19" s="1"/>
  <c r="B75" i="26" s="1"/>
  <c r="AT151" i="1"/>
  <c r="C50" i="19" s="1"/>
  <c r="B44" i="26" s="1"/>
  <c r="P144" i="1"/>
  <c r="BB151" i="1"/>
  <c r="C58" i="19" s="1"/>
  <c r="B52" i="26" s="1"/>
  <c r="AF151" i="1"/>
  <c r="C36" i="19" s="1"/>
  <c r="B30" i="26" s="1"/>
  <c r="BI151" i="1"/>
  <c r="C65" i="19" s="1"/>
  <c r="B59" i="26" s="1"/>
  <c r="AJ151" i="1"/>
  <c r="C40" i="19" s="1"/>
  <c r="B34" i="26" s="1"/>
  <c r="BL151" i="1"/>
  <c r="BL144" i="1"/>
  <c r="D144" i="13"/>
  <c r="BH49" i="9" l="1"/>
  <c r="BH51" i="9" s="1"/>
  <c r="BH52" i="9" s="1"/>
  <c r="BH62" i="9" s="1"/>
  <c r="BH64" i="9" s="1"/>
  <c r="E64" i="19" s="1"/>
  <c r="BH62" i="10"/>
  <c r="BH64" i="10" s="1"/>
  <c r="BH65" i="10" s="1"/>
  <c r="BH72" i="10" s="1"/>
  <c r="BH74" i="10" s="1"/>
  <c r="D64" i="19" s="1"/>
  <c r="C64" i="23"/>
  <c r="U64" i="23"/>
  <c r="L64" i="23"/>
  <c r="B58" i="26"/>
  <c r="U40" i="23"/>
  <c r="C40" i="23"/>
  <c r="L40" i="23"/>
  <c r="U30" i="23"/>
  <c r="C30" i="23"/>
  <c r="L30" i="23"/>
  <c r="R49" i="9"/>
  <c r="R51" i="9" s="1"/>
  <c r="R52" i="9" s="1"/>
  <c r="R62" i="9" s="1"/>
  <c r="R64" i="9" s="1"/>
  <c r="R62" i="10"/>
  <c r="R64" i="10" s="1"/>
  <c r="R65" i="10" s="1"/>
  <c r="R72" i="10" s="1"/>
  <c r="R74" i="10" s="1"/>
  <c r="D22" i="19" s="1"/>
  <c r="C16" i="26" s="1"/>
  <c r="BM49" i="9"/>
  <c r="BM51" i="9" s="1"/>
  <c r="BM52" i="9" s="1"/>
  <c r="BM62" i="9" s="1"/>
  <c r="BM64" i="9" s="1"/>
  <c r="BM62" i="10"/>
  <c r="BM64" i="10" s="1"/>
  <c r="BM65" i="10" s="1"/>
  <c r="BM72" i="10" s="1"/>
  <c r="BM74" i="10" s="1"/>
  <c r="D69" i="19" s="1"/>
  <c r="C63" i="26" s="1"/>
  <c r="C9" i="23"/>
  <c r="U9" i="23"/>
  <c r="L9" i="23"/>
  <c r="L65" i="23"/>
  <c r="C65" i="23"/>
  <c r="U65" i="23"/>
  <c r="U33" i="23"/>
  <c r="L33" i="23"/>
  <c r="C33" i="23"/>
  <c r="U42" i="23"/>
  <c r="C42" i="23"/>
  <c r="L42" i="23"/>
  <c r="AG62" i="10"/>
  <c r="AG64" i="10" s="1"/>
  <c r="AG65" i="10" s="1"/>
  <c r="AG72" i="10" s="1"/>
  <c r="AG74" i="10" s="1"/>
  <c r="D37" i="19" s="1"/>
  <c r="C31" i="26" s="1"/>
  <c r="AG49" i="9"/>
  <c r="AG51" i="9" s="1"/>
  <c r="AG52" i="9" s="1"/>
  <c r="AG62" i="9" s="1"/>
  <c r="AG64" i="9" s="1"/>
  <c r="L20" i="23"/>
  <c r="C20" i="23"/>
  <c r="U20" i="23"/>
  <c r="U22" i="23"/>
  <c r="L22" i="23"/>
  <c r="C22" i="23"/>
  <c r="U69" i="23"/>
  <c r="L69" i="23"/>
  <c r="C69" i="23"/>
  <c r="BD49" i="9"/>
  <c r="BD51" i="9" s="1"/>
  <c r="BD52" i="9" s="1"/>
  <c r="BD62" i="9" s="1"/>
  <c r="BD64" i="9" s="1"/>
  <c r="BD62" i="10"/>
  <c r="BD64" i="10" s="1"/>
  <c r="BD65" i="10" s="1"/>
  <c r="BD72" i="10" s="1"/>
  <c r="BD74" i="10" s="1"/>
  <c r="D60" i="19" s="1"/>
  <c r="C54" i="26" s="1"/>
  <c r="I49" i="9"/>
  <c r="I51" i="9" s="1"/>
  <c r="I52" i="9" s="1"/>
  <c r="I62" i="9" s="1"/>
  <c r="I64" i="9" s="1"/>
  <c r="I62" i="10"/>
  <c r="I64" i="10" s="1"/>
  <c r="I65" i="10" s="1"/>
  <c r="I72" i="10" s="1"/>
  <c r="I74" i="10" s="1"/>
  <c r="D13" i="19" s="1"/>
  <c r="C7" i="26" s="1"/>
  <c r="U34" i="23"/>
  <c r="C34" i="23"/>
  <c r="L34" i="23"/>
  <c r="L27" i="23"/>
  <c r="C27" i="23"/>
  <c r="U27" i="23"/>
  <c r="U16" i="23"/>
  <c r="L16" i="23"/>
  <c r="C16" i="23"/>
  <c r="AM49" i="9"/>
  <c r="AM51" i="9" s="1"/>
  <c r="AM52" i="9" s="1"/>
  <c r="AM62" i="9" s="1"/>
  <c r="AM64" i="9" s="1"/>
  <c r="AM62" i="10"/>
  <c r="AM64" i="10" s="1"/>
  <c r="AM65" i="10" s="1"/>
  <c r="AM72" i="10" s="1"/>
  <c r="AM74" i="10" s="1"/>
  <c r="D43" i="19" s="1"/>
  <c r="C37" i="26" s="1"/>
  <c r="BT49" i="9"/>
  <c r="BT51" i="9" s="1"/>
  <c r="BT52" i="9" s="1"/>
  <c r="BT62" i="9" s="1"/>
  <c r="BT64" i="9" s="1"/>
  <c r="BT62" i="10"/>
  <c r="BT64" i="10" s="1"/>
  <c r="BT65" i="10" s="1"/>
  <c r="BT72" i="10" s="1"/>
  <c r="BT74" i="10" s="1"/>
  <c r="D76" i="19" s="1"/>
  <c r="C70" i="26" s="1"/>
  <c r="U38" i="23"/>
  <c r="C38" i="23"/>
  <c r="L38" i="23"/>
  <c r="U62" i="23"/>
  <c r="C62" i="23"/>
  <c r="L62" i="23"/>
  <c r="AA62" i="10"/>
  <c r="AA64" i="10" s="1"/>
  <c r="AA65" i="10" s="1"/>
  <c r="AA72" i="10" s="1"/>
  <c r="AA74" i="10" s="1"/>
  <c r="D31" i="19" s="1"/>
  <c r="C25" i="26" s="1"/>
  <c r="AA49" i="9"/>
  <c r="AA51" i="9" s="1"/>
  <c r="AA52" i="9" s="1"/>
  <c r="AA62" i="9" s="1"/>
  <c r="AA64" i="9" s="1"/>
  <c r="AT49" i="9"/>
  <c r="AT51" i="9" s="1"/>
  <c r="AT52" i="9" s="1"/>
  <c r="AT62" i="9" s="1"/>
  <c r="AT64" i="9" s="1"/>
  <c r="AT62" i="10"/>
  <c r="AT64" i="10" s="1"/>
  <c r="AT65" i="10" s="1"/>
  <c r="AT72" i="10" s="1"/>
  <c r="AT74" i="10" s="1"/>
  <c r="D50" i="19" s="1"/>
  <c r="C44" i="26" s="1"/>
  <c r="Z49" i="9"/>
  <c r="Z51" i="9" s="1"/>
  <c r="Z52" i="9" s="1"/>
  <c r="Z62" i="9" s="1"/>
  <c r="Z64" i="9" s="1"/>
  <c r="Z62" i="10"/>
  <c r="Z64" i="10" s="1"/>
  <c r="Z65" i="10" s="1"/>
  <c r="Z72" i="10" s="1"/>
  <c r="Z74" i="10" s="1"/>
  <c r="D30" i="19" s="1"/>
  <c r="C24" i="26" s="1"/>
  <c r="C75" i="23"/>
  <c r="L75" i="23"/>
  <c r="U75" i="23"/>
  <c r="L36" i="23"/>
  <c r="C36" i="23"/>
  <c r="U36" i="23"/>
  <c r="X49" i="9"/>
  <c r="X51" i="9" s="1"/>
  <c r="X52" i="9" s="1"/>
  <c r="X62" i="9" s="1"/>
  <c r="X64" i="9" s="1"/>
  <c r="X62" i="10"/>
  <c r="X64" i="10" s="1"/>
  <c r="X65" i="10" s="1"/>
  <c r="X72" i="10" s="1"/>
  <c r="X74" i="10" s="1"/>
  <c r="D28" i="19" s="1"/>
  <c r="C22" i="26" s="1"/>
  <c r="U14" i="23"/>
  <c r="C14" i="23"/>
  <c r="L14" i="23"/>
  <c r="BV62" i="10"/>
  <c r="BV64" i="10" s="1"/>
  <c r="BV65" i="10" s="1"/>
  <c r="BV72" i="10" s="1"/>
  <c r="BV74" i="10" s="1"/>
  <c r="D78" i="19" s="1"/>
  <c r="C72" i="26" s="1"/>
  <c r="BV49" i="9"/>
  <c r="BV51" i="9" s="1"/>
  <c r="BV52" i="9" s="1"/>
  <c r="BV62" i="9" s="1"/>
  <c r="BV64" i="9" s="1"/>
  <c r="L29" i="23"/>
  <c r="C29" i="23"/>
  <c r="U29" i="23"/>
  <c r="L37" i="23"/>
  <c r="C37" i="23"/>
  <c r="U37" i="23"/>
  <c r="N49" i="9"/>
  <c r="N51" i="9" s="1"/>
  <c r="N52" i="9" s="1"/>
  <c r="N62" i="9" s="1"/>
  <c r="N64" i="9" s="1"/>
  <c r="N62" i="10"/>
  <c r="N64" i="10" s="1"/>
  <c r="N65" i="10" s="1"/>
  <c r="N72" i="10" s="1"/>
  <c r="N74" i="10" s="1"/>
  <c r="D18" i="19" s="1"/>
  <c r="C12" i="26" s="1"/>
  <c r="V49" i="9"/>
  <c r="V51" i="9" s="1"/>
  <c r="V52" i="9" s="1"/>
  <c r="V62" i="9" s="1"/>
  <c r="V64" i="9" s="1"/>
  <c r="V62" i="10"/>
  <c r="V64" i="10" s="1"/>
  <c r="V65" i="10" s="1"/>
  <c r="V72" i="10" s="1"/>
  <c r="V74" i="10" s="1"/>
  <c r="D26" i="19" s="1"/>
  <c r="AV49" i="9"/>
  <c r="AV62" i="10"/>
  <c r="AV64" i="10" s="1"/>
  <c r="AV65" i="10" s="1"/>
  <c r="AV72" i="10" s="1"/>
  <c r="AV74" i="10" s="1"/>
  <c r="D52" i="19" s="1"/>
  <c r="C46" i="26" s="1"/>
  <c r="L51" i="23"/>
  <c r="U51" i="23"/>
  <c r="C51" i="23"/>
  <c r="U55" i="23"/>
  <c r="C55" i="23"/>
  <c r="L55" i="23"/>
  <c r="G49" i="9"/>
  <c r="G51" i="9" s="1"/>
  <c r="G52" i="9" s="1"/>
  <c r="G62" i="9" s="1"/>
  <c r="G64" i="9" s="1"/>
  <c r="G62" i="10"/>
  <c r="G64" i="10" s="1"/>
  <c r="G65" i="10" s="1"/>
  <c r="G72" i="10" s="1"/>
  <c r="G74" i="10" s="1"/>
  <c r="D11" i="19" s="1"/>
  <c r="C5" i="26" s="1"/>
  <c r="BN49" i="9"/>
  <c r="BN51" i="9" s="1"/>
  <c r="BN52" i="9" s="1"/>
  <c r="BN62" i="9" s="1"/>
  <c r="BN64" i="9" s="1"/>
  <c r="BN62" i="10"/>
  <c r="BN64" i="10" s="1"/>
  <c r="BN65" i="10" s="1"/>
  <c r="BN72" i="10" s="1"/>
  <c r="BN74" i="10" s="1"/>
  <c r="D70" i="19" s="1"/>
  <c r="C64" i="26" s="1"/>
  <c r="D49" i="9"/>
  <c r="D51" i="9" s="1"/>
  <c r="D62" i="10"/>
  <c r="D64" i="10" s="1"/>
  <c r="D65" i="10" s="1"/>
  <c r="D72" i="10" s="1"/>
  <c r="U74" i="23"/>
  <c r="L74" i="23"/>
  <c r="C74" i="23"/>
  <c r="AB49" i="9"/>
  <c r="AB51" i="9" s="1"/>
  <c r="AB52" i="9" s="1"/>
  <c r="AB62" i="9" s="1"/>
  <c r="AB64" i="9" s="1"/>
  <c r="AB62" i="10"/>
  <c r="AB64" i="10" s="1"/>
  <c r="AB65" i="10" s="1"/>
  <c r="AB72" i="10" s="1"/>
  <c r="AB74" i="10" s="1"/>
  <c r="D32" i="19" s="1"/>
  <c r="C26" i="26" s="1"/>
  <c r="BS49" i="9"/>
  <c r="BS51" i="9" s="1"/>
  <c r="BS52" i="9" s="1"/>
  <c r="BS62" i="9" s="1"/>
  <c r="BS64" i="9" s="1"/>
  <c r="BS62" i="10"/>
  <c r="BS64" i="10" s="1"/>
  <c r="BS65" i="10" s="1"/>
  <c r="BS72" i="10" s="1"/>
  <c r="BS74" i="10" s="1"/>
  <c r="D75" i="19" s="1"/>
  <c r="C69" i="26" s="1"/>
  <c r="J49" i="9"/>
  <c r="J51" i="9" s="1"/>
  <c r="J52" i="9" s="1"/>
  <c r="J62" i="9" s="1"/>
  <c r="J64" i="9" s="1"/>
  <c r="J62" i="10"/>
  <c r="J64" i="10" s="1"/>
  <c r="J65" i="10" s="1"/>
  <c r="J72" i="10" s="1"/>
  <c r="J74" i="10" s="1"/>
  <c r="D14" i="19" s="1"/>
  <c r="C8" i="26" s="1"/>
  <c r="U54" i="23"/>
  <c r="C54" i="23"/>
  <c r="L54" i="23"/>
  <c r="BC62" i="10"/>
  <c r="BC64" i="10" s="1"/>
  <c r="BC65" i="10" s="1"/>
  <c r="BC72" i="10" s="1"/>
  <c r="BC74" i="10" s="1"/>
  <c r="D59" i="19" s="1"/>
  <c r="C53" i="26" s="1"/>
  <c r="BC49" i="9"/>
  <c r="BC51" i="9" s="1"/>
  <c r="BC52" i="9" s="1"/>
  <c r="BC62" i="9" s="1"/>
  <c r="BC64" i="9" s="1"/>
  <c r="U28" i="23"/>
  <c r="C28" i="23"/>
  <c r="L28" i="23"/>
  <c r="U78" i="23"/>
  <c r="C78" i="23"/>
  <c r="L78" i="23"/>
  <c r="O49" i="9"/>
  <c r="O51" i="9" s="1"/>
  <c r="O52" i="9" s="1"/>
  <c r="O62" i="9" s="1"/>
  <c r="O64" i="9" s="1"/>
  <c r="O62" i="10"/>
  <c r="O64" i="10" s="1"/>
  <c r="O65" i="10" s="1"/>
  <c r="O72" i="10" s="1"/>
  <c r="O74" i="10" s="1"/>
  <c r="D19" i="19" s="1"/>
  <c r="C13" i="26" s="1"/>
  <c r="AI62" i="10"/>
  <c r="AI64" i="10" s="1"/>
  <c r="AI65" i="10" s="1"/>
  <c r="AI72" i="10" s="1"/>
  <c r="AI74" i="10" s="1"/>
  <c r="D39" i="19" s="1"/>
  <c r="C33" i="26" s="1"/>
  <c r="AI49" i="9"/>
  <c r="AI51" i="9" s="1"/>
  <c r="AI52" i="9" s="1"/>
  <c r="AI62" i="9" s="1"/>
  <c r="AI64" i="9" s="1"/>
  <c r="BO49" i="9"/>
  <c r="BO51" i="9" s="1"/>
  <c r="BO52" i="9" s="1"/>
  <c r="BO62" i="9" s="1"/>
  <c r="BO64" i="9" s="1"/>
  <c r="BO62" i="10"/>
  <c r="BO64" i="10" s="1"/>
  <c r="BO65" i="10" s="1"/>
  <c r="BO72" i="10" s="1"/>
  <c r="BO74" i="10" s="1"/>
  <c r="D71" i="19" s="1"/>
  <c r="C65" i="26" s="1"/>
  <c r="U48" i="23"/>
  <c r="C48" i="23"/>
  <c r="L48" i="23"/>
  <c r="L59" i="23"/>
  <c r="C59" i="23"/>
  <c r="U59" i="23"/>
  <c r="BZ62" i="10"/>
  <c r="BZ64" i="10" s="1"/>
  <c r="BZ65" i="10" s="1"/>
  <c r="BZ72" i="10" s="1"/>
  <c r="BZ74" i="10" s="1"/>
  <c r="D82" i="19" s="1"/>
  <c r="C76" i="26" s="1"/>
  <c r="BZ49" i="9"/>
  <c r="BZ51" i="9" s="1"/>
  <c r="BZ52" i="9" s="1"/>
  <c r="BZ62" i="9" s="1"/>
  <c r="BZ64" i="9" s="1"/>
  <c r="BE49" i="9"/>
  <c r="BE51" i="9" s="1"/>
  <c r="BE52" i="9" s="1"/>
  <c r="BE62" i="9" s="1"/>
  <c r="BE64" i="9" s="1"/>
  <c r="BE62" i="10"/>
  <c r="BE64" i="10" s="1"/>
  <c r="BE65" i="10" s="1"/>
  <c r="BE72" i="10" s="1"/>
  <c r="BE74" i="10" s="1"/>
  <c r="D61" i="19" s="1"/>
  <c r="C55" i="26" s="1"/>
  <c r="K62" i="10"/>
  <c r="K64" i="10" s="1"/>
  <c r="K65" i="10" s="1"/>
  <c r="K72" i="10" s="1"/>
  <c r="K74" i="10" s="1"/>
  <c r="D15" i="19" s="1"/>
  <c r="C9" i="26" s="1"/>
  <c r="K49" i="9"/>
  <c r="K51" i="9" s="1"/>
  <c r="K52" i="9" s="1"/>
  <c r="K62" i="9" s="1"/>
  <c r="K64" i="9" s="1"/>
  <c r="U46" i="23"/>
  <c r="C46" i="23"/>
  <c r="L46" i="23"/>
  <c r="M49" i="9"/>
  <c r="M51" i="9" s="1"/>
  <c r="M52" i="9" s="1"/>
  <c r="M62" i="9" s="1"/>
  <c r="M64" i="9" s="1"/>
  <c r="M62" i="10"/>
  <c r="M64" i="10" s="1"/>
  <c r="M65" i="10" s="1"/>
  <c r="M72" i="10" s="1"/>
  <c r="M74" i="10" s="1"/>
  <c r="D17" i="19" s="1"/>
  <c r="C11" i="26" s="1"/>
  <c r="BQ49" i="9"/>
  <c r="BQ51" i="9" s="1"/>
  <c r="BQ52" i="9" s="1"/>
  <c r="BQ62" i="9" s="1"/>
  <c r="BQ64" i="9" s="1"/>
  <c r="BQ62" i="10"/>
  <c r="BQ64" i="10" s="1"/>
  <c r="BQ65" i="10" s="1"/>
  <c r="BQ72" i="10" s="1"/>
  <c r="BQ74" i="10" s="1"/>
  <c r="D73" i="19" s="1"/>
  <c r="C67" i="26" s="1"/>
  <c r="AJ49" i="9"/>
  <c r="AJ51" i="9" s="1"/>
  <c r="AJ52" i="9" s="1"/>
  <c r="AJ62" i="9" s="1"/>
  <c r="AJ64" i="9" s="1"/>
  <c r="AJ62" i="10"/>
  <c r="AJ64" i="10" s="1"/>
  <c r="AJ65" i="10" s="1"/>
  <c r="AJ72" i="10" s="1"/>
  <c r="AJ74" i="10" s="1"/>
  <c r="D40" i="19" s="1"/>
  <c r="C34" i="26" s="1"/>
  <c r="C68" i="19"/>
  <c r="B62" i="26" s="1"/>
  <c r="D152" i="13"/>
  <c r="Y49" i="9"/>
  <c r="Y51" i="9" s="1"/>
  <c r="Y52" i="9" s="1"/>
  <c r="Y62" i="9" s="1"/>
  <c r="Y64" i="9" s="1"/>
  <c r="Y62" i="10"/>
  <c r="Y64" i="10" s="1"/>
  <c r="Y65" i="10" s="1"/>
  <c r="Y72" i="10" s="1"/>
  <c r="Y74" i="10" s="1"/>
  <c r="D29" i="19" s="1"/>
  <c r="C23" i="26" s="1"/>
  <c r="E49" i="9"/>
  <c r="E51" i="9" s="1"/>
  <c r="E52" i="9" s="1"/>
  <c r="E62" i="9" s="1"/>
  <c r="E64" i="9" s="1"/>
  <c r="E62" i="10"/>
  <c r="E64" i="10" s="1"/>
  <c r="E65" i="10" s="1"/>
  <c r="E72" i="10" s="1"/>
  <c r="E74" i="10" s="1"/>
  <c r="D9" i="19" s="1"/>
  <c r="C3" i="26" s="1"/>
  <c r="C10" i="23"/>
  <c r="L10" i="23"/>
  <c r="U10" i="23"/>
  <c r="AR49" i="9"/>
  <c r="AR51" i="9" s="1"/>
  <c r="AR52" i="9" s="1"/>
  <c r="AR62" i="9" s="1"/>
  <c r="AR64" i="9" s="1"/>
  <c r="AR62" i="10"/>
  <c r="AR64" i="10" s="1"/>
  <c r="AR65" i="10" s="1"/>
  <c r="AR72" i="10" s="1"/>
  <c r="AR74" i="10" s="1"/>
  <c r="D48" i="19" s="1"/>
  <c r="C42" i="26" s="1"/>
  <c r="L45" i="23"/>
  <c r="U45" i="23"/>
  <c r="C45" i="23"/>
  <c r="U79" i="23"/>
  <c r="L79" i="23"/>
  <c r="C79" i="23"/>
  <c r="L66" i="23"/>
  <c r="C66" i="23"/>
  <c r="U66" i="23"/>
  <c r="AZ49" i="9"/>
  <c r="AZ51" i="9" s="1"/>
  <c r="AZ52" i="9" s="1"/>
  <c r="AZ62" i="9" s="1"/>
  <c r="AZ64" i="9" s="1"/>
  <c r="AZ62" i="10"/>
  <c r="AZ64" i="10" s="1"/>
  <c r="AZ65" i="10" s="1"/>
  <c r="AZ72" i="10" s="1"/>
  <c r="AZ74" i="10" s="1"/>
  <c r="D56" i="19" s="1"/>
  <c r="C50" i="26" s="1"/>
  <c r="AS49" i="9"/>
  <c r="AS51" i="9" s="1"/>
  <c r="AS52" i="9" s="1"/>
  <c r="AS62" i="9" s="1"/>
  <c r="AS64" i="9" s="1"/>
  <c r="AS62" i="10"/>
  <c r="AS64" i="10" s="1"/>
  <c r="AS65" i="10" s="1"/>
  <c r="AS72" i="10" s="1"/>
  <c r="AS74" i="10" s="1"/>
  <c r="D49" i="19" s="1"/>
  <c r="C43" i="26" s="1"/>
  <c r="T49" i="9"/>
  <c r="T51" i="9" s="1"/>
  <c r="T52" i="9" s="1"/>
  <c r="T62" i="9" s="1"/>
  <c r="T64" i="9" s="1"/>
  <c r="T62" i="10"/>
  <c r="T64" i="10" s="1"/>
  <c r="T65" i="10" s="1"/>
  <c r="T72" i="10" s="1"/>
  <c r="T74" i="10" s="1"/>
  <c r="D24" i="19" s="1"/>
  <c r="C18" i="26" s="1"/>
  <c r="U43" i="23"/>
  <c r="L43" i="23"/>
  <c r="C43" i="23"/>
  <c r="U76" i="23"/>
  <c r="C76" i="23"/>
  <c r="L76" i="23"/>
  <c r="BG49" i="9"/>
  <c r="BG51" i="9" s="1"/>
  <c r="BG52" i="9" s="1"/>
  <c r="BG62" i="9" s="1"/>
  <c r="BG64" i="9" s="1"/>
  <c r="BG62" i="10"/>
  <c r="BG64" i="10" s="1"/>
  <c r="BG65" i="10" s="1"/>
  <c r="BG72" i="10" s="1"/>
  <c r="BG74" i="10" s="1"/>
  <c r="D63" i="19" s="1"/>
  <c r="C57" i="26" s="1"/>
  <c r="BB49" i="9"/>
  <c r="BB51" i="9" s="1"/>
  <c r="BB52" i="9" s="1"/>
  <c r="BB62" i="9" s="1"/>
  <c r="BB64" i="9" s="1"/>
  <c r="BB62" i="10"/>
  <c r="BB64" i="10" s="1"/>
  <c r="BB65" i="10" s="1"/>
  <c r="BB72" i="10" s="1"/>
  <c r="BB74" i="10" s="1"/>
  <c r="D58" i="19" s="1"/>
  <c r="C52" i="26" s="1"/>
  <c r="L35" i="23"/>
  <c r="U35" i="23"/>
  <c r="C35" i="23"/>
  <c r="C58" i="23"/>
  <c r="L58" i="23"/>
  <c r="U58" i="23"/>
  <c r="U63" i="23"/>
  <c r="C63" i="23"/>
  <c r="L63" i="23"/>
  <c r="H49" i="9"/>
  <c r="H51" i="9" s="1"/>
  <c r="H52" i="9" s="1"/>
  <c r="H62" i="9" s="1"/>
  <c r="H64" i="9" s="1"/>
  <c r="H62" i="10"/>
  <c r="H64" i="10" s="1"/>
  <c r="H65" i="10" s="1"/>
  <c r="H72" i="10" s="1"/>
  <c r="H74" i="10" s="1"/>
  <c r="D12" i="19" s="1"/>
  <c r="C6" i="26" s="1"/>
  <c r="AW62" i="10"/>
  <c r="AW64" i="10" s="1"/>
  <c r="AW65" i="10" s="1"/>
  <c r="AW72" i="10" s="1"/>
  <c r="AW74" i="10" s="1"/>
  <c r="D53" i="19" s="1"/>
  <c r="C47" i="26" s="1"/>
  <c r="AW49" i="9"/>
  <c r="AW51" i="9" s="1"/>
  <c r="AW52" i="9" s="1"/>
  <c r="AW62" i="9" s="1"/>
  <c r="AW64" i="9" s="1"/>
  <c r="U47" i="23"/>
  <c r="C47" i="23"/>
  <c r="L47" i="23"/>
  <c r="AK49" i="9"/>
  <c r="AK51" i="9" s="1"/>
  <c r="AK52" i="9" s="1"/>
  <c r="AK62" i="9" s="1"/>
  <c r="AK64" i="9" s="1"/>
  <c r="AK62" i="10"/>
  <c r="AK64" i="10" s="1"/>
  <c r="AK65" i="10" s="1"/>
  <c r="AK72" i="10" s="1"/>
  <c r="AK74" i="10" s="1"/>
  <c r="D41" i="19" s="1"/>
  <c r="C35" i="26" s="1"/>
  <c r="AN49" i="9"/>
  <c r="AN51" i="9" s="1"/>
  <c r="AN52" i="9" s="1"/>
  <c r="AN62" i="9" s="1"/>
  <c r="AN64" i="9" s="1"/>
  <c r="AN62" i="10"/>
  <c r="AN64" i="10" s="1"/>
  <c r="AN65" i="10" s="1"/>
  <c r="AN72" i="10" s="1"/>
  <c r="AN74" i="10" s="1"/>
  <c r="D44" i="19" s="1"/>
  <c r="C38" i="26" s="1"/>
  <c r="S62" i="10"/>
  <c r="S64" i="10" s="1"/>
  <c r="S65" i="10" s="1"/>
  <c r="S72" i="10" s="1"/>
  <c r="S74" i="10" s="1"/>
  <c r="D23" i="19" s="1"/>
  <c r="C17" i="26" s="1"/>
  <c r="S49" i="9"/>
  <c r="S51" i="9" s="1"/>
  <c r="S52" i="9" s="1"/>
  <c r="S62" i="9" s="1"/>
  <c r="S64" i="9" s="1"/>
  <c r="C50" i="23"/>
  <c r="U50" i="23"/>
  <c r="L50" i="23"/>
  <c r="U77" i="23"/>
  <c r="L77" i="23"/>
  <c r="C77" i="23"/>
  <c r="BP62" i="10"/>
  <c r="BP64" i="10" s="1"/>
  <c r="BP65" i="10" s="1"/>
  <c r="BP72" i="10" s="1"/>
  <c r="BP74" i="10" s="1"/>
  <c r="D72" i="19" s="1"/>
  <c r="C66" i="26" s="1"/>
  <c r="BP49" i="9"/>
  <c r="BP51" i="9" s="1"/>
  <c r="BP52" i="9" s="1"/>
  <c r="BP62" i="9" s="1"/>
  <c r="BP64" i="9" s="1"/>
  <c r="BA49" i="9"/>
  <c r="BA51" i="9" s="1"/>
  <c r="BA52" i="9" s="1"/>
  <c r="BA62" i="9" s="1"/>
  <c r="BA64" i="9" s="1"/>
  <c r="BA62" i="10"/>
  <c r="BA64" i="10" s="1"/>
  <c r="BA65" i="10" s="1"/>
  <c r="BA72" i="10" s="1"/>
  <c r="BA74" i="10" s="1"/>
  <c r="D57" i="19" s="1"/>
  <c r="C51" i="26" s="1"/>
  <c r="U12" i="23"/>
  <c r="C12" i="23"/>
  <c r="L12" i="23"/>
  <c r="L53" i="23"/>
  <c r="U53" i="23"/>
  <c r="C53" i="23"/>
  <c r="AD49" i="9"/>
  <c r="AD51" i="9" s="1"/>
  <c r="AD52" i="9" s="1"/>
  <c r="AD62" i="9" s="1"/>
  <c r="AD64" i="9" s="1"/>
  <c r="AD62" i="10"/>
  <c r="AD64" i="10" s="1"/>
  <c r="AD65" i="10" s="1"/>
  <c r="AD72" i="10" s="1"/>
  <c r="AD74" i="10" s="1"/>
  <c r="D34" i="19" s="1"/>
  <c r="C28" i="26" s="1"/>
  <c r="W49" i="9"/>
  <c r="W51" i="9" s="1"/>
  <c r="W52" i="9" s="1"/>
  <c r="W62" i="9" s="1"/>
  <c r="W64" i="9" s="1"/>
  <c r="W62" i="10"/>
  <c r="W64" i="10" s="1"/>
  <c r="W65" i="10" s="1"/>
  <c r="W72" i="10" s="1"/>
  <c r="W74" i="10" s="1"/>
  <c r="D27" i="19" s="1"/>
  <c r="C21" i="26" s="1"/>
  <c r="L49" i="9"/>
  <c r="L51" i="9" s="1"/>
  <c r="L52" i="9" s="1"/>
  <c r="L62" i="9" s="1"/>
  <c r="L64" i="9" s="1"/>
  <c r="L62" i="10"/>
  <c r="L64" i="10" s="1"/>
  <c r="L65" i="10" s="1"/>
  <c r="L72" i="10" s="1"/>
  <c r="L74" i="10" s="1"/>
  <c r="D16" i="19" s="1"/>
  <c r="C10" i="26" s="1"/>
  <c r="U60" i="23"/>
  <c r="C60" i="23"/>
  <c r="L60" i="23"/>
  <c r="U13" i="23"/>
  <c r="C13" i="23"/>
  <c r="L13" i="23"/>
  <c r="BK49" i="9"/>
  <c r="BK51" i="9" s="1"/>
  <c r="BK52" i="9" s="1"/>
  <c r="BK62" i="9" s="1"/>
  <c r="BK64" i="9" s="1"/>
  <c r="BK62" i="10"/>
  <c r="BK64" i="10" s="1"/>
  <c r="BK65" i="10" s="1"/>
  <c r="BK72" i="10" s="1"/>
  <c r="BK74" i="10" s="1"/>
  <c r="D67" i="19" s="1"/>
  <c r="C61" i="26" s="1"/>
  <c r="Q62" i="10"/>
  <c r="Q64" i="10" s="1"/>
  <c r="Q65" i="10" s="1"/>
  <c r="Q72" i="10" s="1"/>
  <c r="Q74" i="10" s="1"/>
  <c r="D21" i="19" s="1"/>
  <c r="C15" i="26" s="1"/>
  <c r="Q49" i="9"/>
  <c r="Q51" i="9" s="1"/>
  <c r="Q52" i="9" s="1"/>
  <c r="Q62" i="9" s="1"/>
  <c r="Q64" i="9" s="1"/>
  <c r="L11" i="23"/>
  <c r="U11" i="23"/>
  <c r="C11" i="23"/>
  <c r="U70" i="23"/>
  <c r="L70" i="23"/>
  <c r="C70" i="23"/>
  <c r="C8" i="19"/>
  <c r="B2" i="26" s="1"/>
  <c r="C151" i="1"/>
  <c r="C152" i="13" s="1"/>
  <c r="U49" i="9"/>
  <c r="U51" i="9" s="1"/>
  <c r="U52" i="9" s="1"/>
  <c r="U62" i="9" s="1"/>
  <c r="U64" i="9" s="1"/>
  <c r="U62" i="10"/>
  <c r="U64" i="10" s="1"/>
  <c r="U65" i="10" s="1"/>
  <c r="U72" i="10" s="1"/>
  <c r="U74" i="10" s="1"/>
  <c r="D25" i="19" s="1"/>
  <c r="C19" i="26" s="1"/>
  <c r="BY62" i="10"/>
  <c r="BY64" i="10" s="1"/>
  <c r="BY65" i="10" s="1"/>
  <c r="BY72" i="10" s="1"/>
  <c r="BY74" i="10" s="1"/>
  <c r="D81" i="19" s="1"/>
  <c r="C75" i="26" s="1"/>
  <c r="BY49" i="9"/>
  <c r="BY51" i="9" s="1"/>
  <c r="BY52" i="9" s="1"/>
  <c r="BY62" i="9" s="1"/>
  <c r="BY64" i="9" s="1"/>
  <c r="U31" i="23"/>
  <c r="C31" i="23"/>
  <c r="L31" i="23"/>
  <c r="AO49" i="9"/>
  <c r="AO51" i="9" s="1"/>
  <c r="AO52" i="9" s="1"/>
  <c r="AO62" i="9" s="1"/>
  <c r="AO64" i="9" s="1"/>
  <c r="AO62" i="10"/>
  <c r="AO64" i="10" s="1"/>
  <c r="AO65" i="10" s="1"/>
  <c r="AO72" i="10" s="1"/>
  <c r="AO74" i="10" s="1"/>
  <c r="D45" i="19" s="1"/>
  <c r="C39" i="26" s="1"/>
  <c r="AQ62" i="10"/>
  <c r="AQ64" i="10" s="1"/>
  <c r="AQ65" i="10" s="1"/>
  <c r="AQ72" i="10" s="1"/>
  <c r="AQ74" i="10" s="1"/>
  <c r="D47" i="19" s="1"/>
  <c r="C41" i="26" s="1"/>
  <c r="AQ49" i="9"/>
  <c r="AQ51" i="9" s="1"/>
  <c r="AQ52" i="9" s="1"/>
  <c r="AQ62" i="9" s="1"/>
  <c r="AQ64" i="9" s="1"/>
  <c r="P49" i="9"/>
  <c r="P51" i="9" s="1"/>
  <c r="P52" i="9" s="1"/>
  <c r="P62" i="9" s="1"/>
  <c r="P64" i="9" s="1"/>
  <c r="P62" i="10"/>
  <c r="P64" i="10" s="1"/>
  <c r="P65" i="10" s="1"/>
  <c r="P72" i="10" s="1"/>
  <c r="P74" i="10" s="1"/>
  <c r="D20" i="19" s="1"/>
  <c r="C14" i="26" s="1"/>
  <c r="BL62" i="10"/>
  <c r="BL49" i="9"/>
  <c r="D145" i="13"/>
  <c r="L81" i="23"/>
  <c r="U81" i="23"/>
  <c r="C81" i="23"/>
  <c r="U25" i="23"/>
  <c r="L25" i="23"/>
  <c r="C25" i="23"/>
  <c r="AX62" i="10"/>
  <c r="AX64" i="10" s="1"/>
  <c r="AX65" i="10" s="1"/>
  <c r="AX72" i="10" s="1"/>
  <c r="AX74" i="10" s="1"/>
  <c r="D54" i="19" s="1"/>
  <c r="C48" i="26" s="1"/>
  <c r="AX49" i="9"/>
  <c r="AX51" i="9" s="1"/>
  <c r="AX52" i="9" s="1"/>
  <c r="AX62" i="9" s="1"/>
  <c r="AX64" i="9" s="1"/>
  <c r="F49" i="9"/>
  <c r="F51" i="9" s="1"/>
  <c r="F52" i="9" s="1"/>
  <c r="F62" i="9" s="1"/>
  <c r="F64" i="9" s="1"/>
  <c r="F62" i="10"/>
  <c r="F64" i="10" s="1"/>
  <c r="F65" i="10" s="1"/>
  <c r="F72" i="10" s="1"/>
  <c r="F74" i="10" s="1"/>
  <c r="D10" i="19" s="1"/>
  <c r="C4" i="26" s="1"/>
  <c r="C72" i="23"/>
  <c r="L72" i="23"/>
  <c r="U72" i="23"/>
  <c r="U57" i="23"/>
  <c r="C57" i="23"/>
  <c r="L57" i="23"/>
  <c r="AU49" i="9"/>
  <c r="AU51" i="9" s="1"/>
  <c r="AU52" i="9" s="1"/>
  <c r="AU62" i="9" s="1"/>
  <c r="AU64" i="9" s="1"/>
  <c r="AU62" i="10"/>
  <c r="AU64" i="10" s="1"/>
  <c r="AU65" i="10" s="1"/>
  <c r="AU72" i="10" s="1"/>
  <c r="AU74" i="10" s="1"/>
  <c r="D51" i="19" s="1"/>
  <c r="C45" i="26" s="1"/>
  <c r="AY62" i="10"/>
  <c r="AY64" i="10" s="1"/>
  <c r="AY65" i="10" s="1"/>
  <c r="AY72" i="10" s="1"/>
  <c r="AY74" i="10" s="1"/>
  <c r="D55" i="19" s="1"/>
  <c r="C49" i="26" s="1"/>
  <c r="AY49" i="9"/>
  <c r="AY51" i="9" s="1"/>
  <c r="AY52" i="9" s="1"/>
  <c r="AY62" i="9" s="1"/>
  <c r="AY64" i="9" s="1"/>
  <c r="L18" i="23"/>
  <c r="U18" i="23"/>
  <c r="C18" i="23"/>
  <c r="L26" i="23"/>
  <c r="U26" i="23"/>
  <c r="C26" i="23"/>
  <c r="U52" i="23"/>
  <c r="L52" i="23"/>
  <c r="C52" i="23"/>
  <c r="AH49" i="9"/>
  <c r="AH51" i="9" s="1"/>
  <c r="AH52" i="9" s="1"/>
  <c r="AH62" i="9" s="1"/>
  <c r="AH64" i="9" s="1"/>
  <c r="AH62" i="10"/>
  <c r="AH64" i="10" s="1"/>
  <c r="AH65" i="10" s="1"/>
  <c r="AH72" i="10" s="1"/>
  <c r="AH74" i="10" s="1"/>
  <c r="D38" i="19" s="1"/>
  <c r="C32" i="26" s="1"/>
  <c r="BF62" i="10"/>
  <c r="BF64" i="10" s="1"/>
  <c r="BF65" i="10" s="1"/>
  <c r="BF72" i="10" s="1"/>
  <c r="BF74" i="10" s="1"/>
  <c r="D62" i="19" s="1"/>
  <c r="C56" i="26" s="1"/>
  <c r="BF49" i="9"/>
  <c r="BF51" i="9" s="1"/>
  <c r="BF52" i="9" s="1"/>
  <c r="BF62" i="9" s="1"/>
  <c r="BF64" i="9" s="1"/>
  <c r="U82" i="23"/>
  <c r="C82" i="23"/>
  <c r="L82" i="23"/>
  <c r="L61" i="23"/>
  <c r="U61" i="23"/>
  <c r="C61" i="23"/>
  <c r="U15" i="23"/>
  <c r="L15" i="23"/>
  <c r="C15" i="23"/>
  <c r="AL49" i="9"/>
  <c r="AL51" i="9" s="1"/>
  <c r="AL52" i="9" s="1"/>
  <c r="AL62" i="9" s="1"/>
  <c r="AL64" i="9" s="1"/>
  <c r="AL62" i="10"/>
  <c r="AL64" i="10" s="1"/>
  <c r="AL65" i="10" s="1"/>
  <c r="AL72" i="10" s="1"/>
  <c r="AL74" i="10" s="1"/>
  <c r="D42" i="19" s="1"/>
  <c r="C36" i="26" s="1"/>
  <c r="AC49" i="9"/>
  <c r="AC51" i="9" s="1"/>
  <c r="AC52" i="9" s="1"/>
  <c r="AC62" i="9" s="1"/>
  <c r="AC64" i="9" s="1"/>
  <c r="AC62" i="10"/>
  <c r="AC64" i="10" s="1"/>
  <c r="AC65" i="10" s="1"/>
  <c r="AC72" i="10" s="1"/>
  <c r="AC74" i="10" s="1"/>
  <c r="D33" i="19" s="1"/>
  <c r="C27" i="26" s="1"/>
  <c r="U32" i="23"/>
  <c r="C32" i="23"/>
  <c r="L32" i="23"/>
  <c r="U39" i="23"/>
  <c r="L39" i="23"/>
  <c r="C39" i="23"/>
  <c r="U71" i="23"/>
  <c r="C71" i="23"/>
  <c r="L71" i="23"/>
  <c r="BR62" i="10"/>
  <c r="BR64" i="10" s="1"/>
  <c r="BR65" i="10" s="1"/>
  <c r="BR72" i="10" s="1"/>
  <c r="BR74" i="10" s="1"/>
  <c r="D74" i="19" s="1"/>
  <c r="C68" i="26" s="1"/>
  <c r="BR49" i="9"/>
  <c r="BR51" i="9" s="1"/>
  <c r="BR52" i="9" s="1"/>
  <c r="BR62" i="9" s="1"/>
  <c r="BR64" i="9" s="1"/>
  <c r="U56" i="23"/>
  <c r="C56" i="23"/>
  <c r="L56" i="23"/>
  <c r="U49" i="23"/>
  <c r="L49" i="23"/>
  <c r="C49" i="23"/>
  <c r="U24" i="23"/>
  <c r="C24" i="23"/>
  <c r="L24" i="23"/>
  <c r="BI49" i="9"/>
  <c r="BI51" i="9" s="1"/>
  <c r="BI52" i="9" s="1"/>
  <c r="BI62" i="9" s="1"/>
  <c r="BI64" i="9" s="1"/>
  <c r="BI62" i="10"/>
  <c r="BI64" i="10" s="1"/>
  <c r="BI65" i="10" s="1"/>
  <c r="BI72" i="10" s="1"/>
  <c r="BI74" i="10" s="1"/>
  <c r="D65" i="19" s="1"/>
  <c r="C59" i="26" s="1"/>
  <c r="U17" i="23"/>
  <c r="L17" i="23"/>
  <c r="C17" i="23"/>
  <c r="L73" i="23"/>
  <c r="C73" i="23"/>
  <c r="U73" i="23"/>
  <c r="BX49" i="9"/>
  <c r="BX51" i="9" s="1"/>
  <c r="BX52" i="9" s="1"/>
  <c r="BX62" i="9" s="1"/>
  <c r="BX64" i="9" s="1"/>
  <c r="BX62" i="10"/>
  <c r="BX64" i="10" s="1"/>
  <c r="BX65" i="10" s="1"/>
  <c r="BX72" i="10" s="1"/>
  <c r="BX74" i="10" s="1"/>
  <c r="D80" i="19" s="1"/>
  <c r="C74" i="26" s="1"/>
  <c r="L19" i="23"/>
  <c r="C19" i="23"/>
  <c r="U19" i="23"/>
  <c r="C80" i="23"/>
  <c r="L80" i="23"/>
  <c r="U80" i="23"/>
  <c r="BW62" i="10"/>
  <c r="BW64" i="10" s="1"/>
  <c r="BW65" i="10" s="1"/>
  <c r="BW72" i="10" s="1"/>
  <c r="BW74" i="10" s="1"/>
  <c r="D79" i="19" s="1"/>
  <c r="C73" i="26" s="1"/>
  <c r="BW49" i="9"/>
  <c r="BW51" i="9" s="1"/>
  <c r="BW52" i="9" s="1"/>
  <c r="BW62" i="9" s="1"/>
  <c r="BW64" i="9" s="1"/>
  <c r="BJ49" i="9"/>
  <c r="BJ51" i="9" s="1"/>
  <c r="BJ52" i="9" s="1"/>
  <c r="BJ62" i="9" s="1"/>
  <c r="BJ64" i="9" s="1"/>
  <c r="BJ62" i="10"/>
  <c r="BJ64" i="10" s="1"/>
  <c r="BJ65" i="10" s="1"/>
  <c r="BJ72" i="10" s="1"/>
  <c r="BJ74" i="10" s="1"/>
  <c r="D66" i="19" s="1"/>
  <c r="C60" i="26" s="1"/>
  <c r="U41" i="23"/>
  <c r="L41" i="23"/>
  <c r="C41" i="23"/>
  <c r="U44" i="23"/>
  <c r="L44" i="23"/>
  <c r="C44" i="23"/>
  <c r="U23" i="23"/>
  <c r="L23" i="23"/>
  <c r="C23" i="23"/>
  <c r="AP49" i="9"/>
  <c r="AP51" i="9" s="1"/>
  <c r="AP52" i="9" s="1"/>
  <c r="AP62" i="9" s="1"/>
  <c r="AP64" i="9" s="1"/>
  <c r="AP62" i="10"/>
  <c r="AP64" i="10" s="1"/>
  <c r="AP65" i="10" s="1"/>
  <c r="AP72" i="10" s="1"/>
  <c r="AP74" i="10" s="1"/>
  <c r="D46" i="19" s="1"/>
  <c r="C40" i="26" s="1"/>
  <c r="L67" i="23"/>
  <c r="U67" i="23"/>
  <c r="C67" i="23"/>
  <c r="L21" i="23"/>
  <c r="C21" i="23"/>
  <c r="U21" i="23"/>
  <c r="AE49" i="9"/>
  <c r="AE51" i="9" s="1"/>
  <c r="AE52" i="9" s="1"/>
  <c r="AE62" i="9" s="1"/>
  <c r="AE64" i="9" s="1"/>
  <c r="AE62" i="10"/>
  <c r="AE64" i="10" s="1"/>
  <c r="AE65" i="10" s="1"/>
  <c r="AE72" i="10" s="1"/>
  <c r="AE74" i="10" s="1"/>
  <c r="D35" i="19" s="1"/>
  <c r="C29" i="26" s="1"/>
  <c r="AF49" i="9"/>
  <c r="AF51" i="9" s="1"/>
  <c r="AF52" i="9" s="1"/>
  <c r="AF62" i="9" s="1"/>
  <c r="AF64" i="9" s="1"/>
  <c r="AF62" i="10"/>
  <c r="AF64" i="10" s="1"/>
  <c r="AF65" i="10" s="1"/>
  <c r="AF72" i="10" s="1"/>
  <c r="AF74" i="10" s="1"/>
  <c r="D36" i="19" s="1"/>
  <c r="C30" i="26" s="1"/>
  <c r="BU49" i="9"/>
  <c r="BU51" i="9" s="1"/>
  <c r="BU52" i="9" s="1"/>
  <c r="BU62" i="9" s="1"/>
  <c r="BU64" i="9" s="1"/>
  <c r="BU62" i="10"/>
  <c r="BU64" i="10" s="1"/>
  <c r="BU65" i="10" s="1"/>
  <c r="BU72" i="10" s="1"/>
  <c r="BU74" i="10" s="1"/>
  <c r="D77" i="19" s="1"/>
  <c r="C71" i="26" s="1"/>
  <c r="E18" i="19" l="1"/>
  <c r="D12" i="26" s="1"/>
  <c r="E31" i="19"/>
  <c r="D25" i="26" s="1"/>
  <c r="E60" i="19"/>
  <c r="D54" i="26" s="1"/>
  <c r="E66" i="19"/>
  <c r="H66" i="19" s="1"/>
  <c r="G60" i="26" s="1"/>
  <c r="E33" i="19"/>
  <c r="D27" i="26" s="1"/>
  <c r="E67" i="19"/>
  <c r="D61" i="26" s="1"/>
  <c r="E16" i="19"/>
  <c r="H16" i="19" s="1"/>
  <c r="G10" i="26" s="1"/>
  <c r="E44" i="19"/>
  <c r="E44" i="23" s="1"/>
  <c r="E49" i="19"/>
  <c r="H49" i="19" s="1"/>
  <c r="G43" i="26" s="1"/>
  <c r="E40" i="19"/>
  <c r="D34" i="26" s="1"/>
  <c r="E15" i="19"/>
  <c r="D9" i="26" s="1"/>
  <c r="E59" i="19"/>
  <c r="H59" i="19" s="1"/>
  <c r="G53" i="26" s="1"/>
  <c r="E75" i="19"/>
  <c r="N75" i="23" s="1"/>
  <c r="E76" i="19"/>
  <c r="D70" i="26" s="1"/>
  <c r="E69" i="19"/>
  <c r="D63" i="26" s="1"/>
  <c r="E55" i="19"/>
  <c r="D49" i="26" s="1"/>
  <c r="E20" i="19"/>
  <c r="D14" i="26" s="1"/>
  <c r="E81" i="19"/>
  <c r="D75" i="26" s="1"/>
  <c r="E12" i="19"/>
  <c r="D6" i="26" s="1"/>
  <c r="E19" i="19"/>
  <c r="N19" i="23" s="1"/>
  <c r="E70" i="19"/>
  <c r="D64" i="26" s="1"/>
  <c r="E37" i="19"/>
  <c r="D31" i="26" s="1"/>
  <c r="E80" i="19"/>
  <c r="H80" i="19" s="1"/>
  <c r="G74" i="26" s="1"/>
  <c r="E65" i="19"/>
  <c r="H65" i="19" s="1"/>
  <c r="G59" i="26" s="1"/>
  <c r="E42" i="19"/>
  <c r="H42" i="19" s="1"/>
  <c r="G36" i="26" s="1"/>
  <c r="E47" i="19"/>
  <c r="D41" i="26" s="1"/>
  <c r="E27" i="19"/>
  <c r="D21" i="26" s="1"/>
  <c r="E41" i="19"/>
  <c r="N41" i="23" s="1"/>
  <c r="E56" i="19"/>
  <c r="H56" i="19" s="1"/>
  <c r="G50" i="26" s="1"/>
  <c r="E9" i="19"/>
  <c r="D3" i="26" s="1"/>
  <c r="E73" i="19"/>
  <c r="E73" i="23" s="1"/>
  <c r="E32" i="19"/>
  <c r="E32" i="23" s="1"/>
  <c r="E43" i="19"/>
  <c r="E43" i="23" s="1"/>
  <c r="E22" i="19"/>
  <c r="D16" i="26" s="1"/>
  <c r="E38" i="19"/>
  <c r="D32" i="26" s="1"/>
  <c r="E77" i="19"/>
  <c r="H77" i="19" s="1"/>
  <c r="G71" i="26" s="1"/>
  <c r="E79" i="19"/>
  <c r="H79" i="19" s="1"/>
  <c r="G73" i="26" s="1"/>
  <c r="E36" i="19"/>
  <c r="D30" i="26" s="1"/>
  <c r="E61" i="19"/>
  <c r="D55" i="26" s="1"/>
  <c r="E11" i="19"/>
  <c r="W11" i="23" s="1"/>
  <c r="AV51" i="9"/>
  <c r="D50" i="17"/>
  <c r="E74" i="19"/>
  <c r="D68" i="26" s="1"/>
  <c r="E62" i="19"/>
  <c r="D56" i="26" s="1"/>
  <c r="E51" i="19"/>
  <c r="H51" i="19" s="1"/>
  <c r="G45" i="26" s="1"/>
  <c r="E10" i="19"/>
  <c r="H10" i="19" s="1"/>
  <c r="G4" i="26" s="1"/>
  <c r="E25" i="19"/>
  <c r="D19" i="26" s="1"/>
  <c r="E34" i="19"/>
  <c r="N34" i="23" s="1"/>
  <c r="E57" i="19"/>
  <c r="H57" i="19" s="1"/>
  <c r="G51" i="26" s="1"/>
  <c r="E58" i="19"/>
  <c r="W58" i="23" s="1"/>
  <c r="E29" i="19"/>
  <c r="D23" i="26" s="1"/>
  <c r="E17" i="19"/>
  <c r="W17" i="23" s="1"/>
  <c r="E82" i="19"/>
  <c r="H82" i="19" s="1"/>
  <c r="G76" i="26" s="1"/>
  <c r="E28" i="19"/>
  <c r="N28" i="23" s="1"/>
  <c r="E30" i="19"/>
  <c r="D24" i="26" s="1"/>
  <c r="E54" i="19"/>
  <c r="H54" i="19" s="1"/>
  <c r="G48" i="26" s="1"/>
  <c r="E45" i="19"/>
  <c r="W45" i="23" s="1"/>
  <c r="E21" i="19"/>
  <c r="E21" i="23" s="1"/>
  <c r="E72" i="19"/>
  <c r="D66" i="26" s="1"/>
  <c r="E23" i="19"/>
  <c r="H23" i="19" s="1"/>
  <c r="G17" i="26" s="1"/>
  <c r="E48" i="19"/>
  <c r="H48" i="19" s="1"/>
  <c r="G42" i="26" s="1"/>
  <c r="E71" i="19"/>
  <c r="H71" i="19" s="1"/>
  <c r="G65" i="26" s="1"/>
  <c r="E26" i="19"/>
  <c r="D20" i="26" s="1"/>
  <c r="E13" i="19"/>
  <c r="E13" i="23" s="1"/>
  <c r="E35" i="19"/>
  <c r="N35" i="23" s="1"/>
  <c r="E46" i="19"/>
  <c r="H46" i="19" s="1"/>
  <c r="G40" i="26" s="1"/>
  <c r="E53" i="19"/>
  <c r="D47" i="26" s="1"/>
  <c r="E63" i="19"/>
  <c r="D57" i="26" s="1"/>
  <c r="E24" i="19"/>
  <c r="E24" i="23" s="1"/>
  <c r="E39" i="19"/>
  <c r="W39" i="23" s="1"/>
  <c r="E14" i="19"/>
  <c r="D8" i="26" s="1"/>
  <c r="E78" i="19"/>
  <c r="N78" i="23" s="1"/>
  <c r="E50" i="19"/>
  <c r="H50" i="19" s="1"/>
  <c r="G44" i="26" s="1"/>
  <c r="B77" i="26"/>
  <c r="H64" i="19"/>
  <c r="G58" i="26" s="1"/>
  <c r="AD64" i="23"/>
  <c r="D64" i="23"/>
  <c r="C58" i="26"/>
  <c r="V64" i="23"/>
  <c r="M64" i="23"/>
  <c r="W64" i="23"/>
  <c r="E64" i="23"/>
  <c r="N64" i="23"/>
  <c r="D58" i="26"/>
  <c r="C20" i="26"/>
  <c r="H43" i="19"/>
  <c r="G37" i="26" s="1"/>
  <c r="H15" i="19"/>
  <c r="G9" i="26" s="1"/>
  <c r="H73" i="19"/>
  <c r="G67" i="26" s="1"/>
  <c r="H18" i="19"/>
  <c r="G12" i="26" s="1"/>
  <c r="H31" i="19"/>
  <c r="G25" i="26" s="1"/>
  <c r="H40" i="19"/>
  <c r="G34" i="26" s="1"/>
  <c r="H60" i="19"/>
  <c r="G54" i="26" s="1"/>
  <c r="H45" i="19"/>
  <c r="G39" i="26" s="1"/>
  <c r="H81" i="19"/>
  <c r="G75" i="26" s="1"/>
  <c r="H58" i="19"/>
  <c r="G52" i="26" s="1"/>
  <c r="AD48" i="23"/>
  <c r="AD14" i="23"/>
  <c r="AD42" i="23"/>
  <c r="AD10" i="23"/>
  <c r="AD36" i="23"/>
  <c r="AD47" i="23"/>
  <c r="AD66" i="23"/>
  <c r="AD45" i="23"/>
  <c r="AD24" i="23"/>
  <c r="AD67" i="23"/>
  <c r="AD78" i="23"/>
  <c r="AD23" i="23"/>
  <c r="AD74" i="23"/>
  <c r="AD63" i="23"/>
  <c r="AD9" i="23"/>
  <c r="AD26" i="23"/>
  <c r="AD41" i="23"/>
  <c r="AD49" i="23"/>
  <c r="AD13" i="23"/>
  <c r="AD33" i="23"/>
  <c r="AD79" i="23"/>
  <c r="AD80" i="23"/>
  <c r="AD11" i="23"/>
  <c r="AD27" i="23"/>
  <c r="AD20" i="23"/>
  <c r="AD21" i="23"/>
  <c r="AD70" i="23"/>
  <c r="AD32" i="23"/>
  <c r="AD38" i="23"/>
  <c r="AD16" i="23"/>
  <c r="AD34" i="23"/>
  <c r="AD12" i="23"/>
  <c r="AD61" i="23"/>
  <c r="AD31" i="23"/>
  <c r="AD77" i="23"/>
  <c r="AD46" i="23"/>
  <c r="AD69" i="23"/>
  <c r="AD30" i="23"/>
  <c r="AD72" i="23"/>
  <c r="AD58" i="23"/>
  <c r="AD54" i="23"/>
  <c r="AD55" i="23"/>
  <c r="AD75" i="23"/>
  <c r="AD65" i="23"/>
  <c r="AD52" i="23"/>
  <c r="AD50" i="23"/>
  <c r="AD22" i="23"/>
  <c r="AD73" i="23"/>
  <c r="AD19" i="23"/>
  <c r="AD17" i="23"/>
  <c r="AD71" i="23"/>
  <c r="AD82" i="23"/>
  <c r="AD35" i="23"/>
  <c r="AD76" i="23"/>
  <c r="M35" i="23"/>
  <c r="V35" i="23"/>
  <c r="D35" i="23"/>
  <c r="V74" i="23"/>
  <c r="D74" i="23"/>
  <c r="M74" i="23"/>
  <c r="V33" i="23"/>
  <c r="D33" i="23"/>
  <c r="M33" i="23"/>
  <c r="AD18" i="23"/>
  <c r="N45" i="23"/>
  <c r="C83" i="19"/>
  <c r="C8" i="23"/>
  <c r="L8" i="23"/>
  <c r="U8" i="23"/>
  <c r="W16" i="23"/>
  <c r="N16" i="23"/>
  <c r="D41" i="23"/>
  <c r="V41" i="23"/>
  <c r="M41" i="23"/>
  <c r="M12" i="23"/>
  <c r="V12" i="23"/>
  <c r="D12" i="23"/>
  <c r="V40" i="23"/>
  <c r="M40" i="23"/>
  <c r="D40" i="23"/>
  <c r="N15" i="23"/>
  <c r="W15" i="23"/>
  <c r="E15" i="23"/>
  <c r="V71" i="23"/>
  <c r="M71" i="23"/>
  <c r="D71" i="23"/>
  <c r="D59" i="23"/>
  <c r="M59" i="23"/>
  <c r="V59" i="23"/>
  <c r="V11" i="23"/>
  <c r="M11" i="23"/>
  <c r="D11" i="23"/>
  <c r="AD51" i="23"/>
  <c r="M18" i="23"/>
  <c r="D18" i="23"/>
  <c r="V18" i="23"/>
  <c r="AD29" i="23"/>
  <c r="V50" i="23"/>
  <c r="D50" i="23"/>
  <c r="M50" i="23"/>
  <c r="W43" i="23"/>
  <c r="N43" i="23"/>
  <c r="M37" i="23"/>
  <c r="D37" i="23"/>
  <c r="V37" i="23"/>
  <c r="M80" i="23"/>
  <c r="V80" i="23"/>
  <c r="D80" i="23"/>
  <c r="AD56" i="23"/>
  <c r="W62" i="23"/>
  <c r="AD57" i="23"/>
  <c r="BL51" i="9"/>
  <c r="BL52" i="9" s="1"/>
  <c r="D27" i="23"/>
  <c r="M27" i="23"/>
  <c r="V27" i="23"/>
  <c r="D72" i="23"/>
  <c r="M72" i="23"/>
  <c r="V72" i="23"/>
  <c r="D58" i="23"/>
  <c r="V58" i="23"/>
  <c r="M58" i="23"/>
  <c r="D49" i="23"/>
  <c r="M49" i="23"/>
  <c r="V49" i="23"/>
  <c r="E40" i="23"/>
  <c r="W40" i="23"/>
  <c r="N40" i="23"/>
  <c r="D15" i="23"/>
  <c r="M15" i="23"/>
  <c r="V15" i="23"/>
  <c r="D32" i="23"/>
  <c r="M32" i="23"/>
  <c r="V32" i="23"/>
  <c r="N18" i="23"/>
  <c r="W18" i="23"/>
  <c r="E18" i="23"/>
  <c r="D60" i="23"/>
  <c r="V60" i="23"/>
  <c r="M60" i="23"/>
  <c r="V77" i="23"/>
  <c r="M77" i="23"/>
  <c r="D77" i="23"/>
  <c r="M42" i="23"/>
  <c r="D42" i="23"/>
  <c r="V42" i="23"/>
  <c r="V62" i="23"/>
  <c r="D62" i="23"/>
  <c r="M62" i="23"/>
  <c r="D10" i="23"/>
  <c r="M10" i="23"/>
  <c r="V10" i="23"/>
  <c r="BL64" i="10"/>
  <c r="D63" i="15"/>
  <c r="E58" i="23"/>
  <c r="N58" i="23"/>
  <c r="N49" i="23"/>
  <c r="E49" i="23"/>
  <c r="W49" i="23"/>
  <c r="V9" i="23"/>
  <c r="D9" i="23"/>
  <c r="M9" i="23"/>
  <c r="D73" i="23"/>
  <c r="M73" i="23"/>
  <c r="V73" i="23"/>
  <c r="M61" i="23"/>
  <c r="D61" i="23"/>
  <c r="V61" i="23"/>
  <c r="V28" i="23"/>
  <c r="M28" i="23"/>
  <c r="D28" i="23"/>
  <c r="W31" i="23"/>
  <c r="E31" i="23"/>
  <c r="N31" i="23"/>
  <c r="W60" i="23"/>
  <c r="E60" i="23"/>
  <c r="N60" i="23"/>
  <c r="V69" i="23"/>
  <c r="M69" i="23"/>
  <c r="D69" i="23"/>
  <c r="N80" i="23"/>
  <c r="M46" i="23"/>
  <c r="V46" i="23"/>
  <c r="D46" i="23"/>
  <c r="AD44" i="23"/>
  <c r="M38" i="23"/>
  <c r="D38" i="23"/>
  <c r="V38" i="23"/>
  <c r="H20" i="19"/>
  <c r="G14" i="26" s="1"/>
  <c r="V20" i="23"/>
  <c r="M20" i="23"/>
  <c r="D20" i="23"/>
  <c r="N81" i="23"/>
  <c r="V21" i="23"/>
  <c r="M21" i="23"/>
  <c r="D21" i="23"/>
  <c r="AD60" i="23"/>
  <c r="V34" i="23"/>
  <c r="D34" i="23"/>
  <c r="M34" i="23"/>
  <c r="D63" i="23"/>
  <c r="V63" i="23"/>
  <c r="M63" i="23"/>
  <c r="AD43" i="23"/>
  <c r="V56" i="23"/>
  <c r="D56" i="23"/>
  <c r="M56" i="23"/>
  <c r="M48" i="23"/>
  <c r="V48" i="23"/>
  <c r="D48" i="23"/>
  <c r="N73" i="23"/>
  <c r="H61" i="19"/>
  <c r="G55" i="26" s="1"/>
  <c r="E61" i="23"/>
  <c r="W61" i="23"/>
  <c r="D39" i="23"/>
  <c r="V39" i="23"/>
  <c r="M39" i="23"/>
  <c r="AD28" i="23"/>
  <c r="AD37" i="23"/>
  <c r="M31" i="23"/>
  <c r="D31" i="23"/>
  <c r="V31" i="23"/>
  <c r="H69" i="19"/>
  <c r="G63" i="26" s="1"/>
  <c r="N69" i="23"/>
  <c r="W69" i="23"/>
  <c r="E69" i="23"/>
  <c r="E46" i="23"/>
  <c r="AD81" i="23"/>
  <c r="E20" i="23"/>
  <c r="N20" i="23"/>
  <c r="W20" i="23"/>
  <c r="D81" i="23"/>
  <c r="V81" i="23"/>
  <c r="M81" i="23"/>
  <c r="D67" i="23"/>
  <c r="V67" i="23"/>
  <c r="M67" i="23"/>
  <c r="W23" i="23"/>
  <c r="V29" i="23"/>
  <c r="M29" i="23"/>
  <c r="D29" i="23"/>
  <c r="V17" i="23"/>
  <c r="M17" i="23"/>
  <c r="D17" i="23"/>
  <c r="V19" i="23"/>
  <c r="M19" i="23"/>
  <c r="D19" i="23"/>
  <c r="D74" i="10"/>
  <c r="D52" i="23"/>
  <c r="V52" i="23"/>
  <c r="M52" i="23"/>
  <c r="V22" i="23"/>
  <c r="M22" i="23"/>
  <c r="D22" i="23"/>
  <c r="AD40" i="23"/>
  <c r="M36" i="23"/>
  <c r="V36" i="23"/>
  <c r="D36" i="23"/>
  <c r="D66" i="23"/>
  <c r="V66" i="23"/>
  <c r="M66" i="23"/>
  <c r="E66" i="23"/>
  <c r="AD15" i="23"/>
  <c r="M55" i="23"/>
  <c r="D55" i="23"/>
  <c r="V55" i="23"/>
  <c r="M54" i="23"/>
  <c r="V54" i="23"/>
  <c r="D54" i="23"/>
  <c r="W47" i="23"/>
  <c r="D25" i="23"/>
  <c r="M25" i="23"/>
  <c r="V25" i="23"/>
  <c r="AD53" i="23"/>
  <c r="D23" i="23"/>
  <c r="M23" i="23"/>
  <c r="V23" i="23"/>
  <c r="W29" i="23"/>
  <c r="N29" i="23"/>
  <c r="D82" i="23"/>
  <c r="V82" i="23"/>
  <c r="M82" i="23"/>
  <c r="V14" i="23"/>
  <c r="D14" i="23"/>
  <c r="M14" i="23"/>
  <c r="D52" i="9"/>
  <c r="D62" i="9" s="1"/>
  <c r="V78" i="23"/>
  <c r="D78" i="23"/>
  <c r="M78" i="23"/>
  <c r="AD62" i="23"/>
  <c r="M76" i="23"/>
  <c r="V76" i="23"/>
  <c r="D76" i="23"/>
  <c r="N22" i="23"/>
  <c r="V65" i="23"/>
  <c r="D65" i="23"/>
  <c r="M65" i="23"/>
  <c r="D51" i="23"/>
  <c r="V51" i="23"/>
  <c r="M51" i="23"/>
  <c r="D47" i="23"/>
  <c r="M47" i="23"/>
  <c r="V47" i="23"/>
  <c r="E25" i="23"/>
  <c r="W25" i="23"/>
  <c r="V57" i="23"/>
  <c r="M57" i="23"/>
  <c r="D57" i="23"/>
  <c r="V44" i="23"/>
  <c r="M44" i="23"/>
  <c r="D44" i="23"/>
  <c r="D70" i="23"/>
  <c r="V70" i="23"/>
  <c r="M70" i="23"/>
  <c r="D26" i="23"/>
  <c r="M26" i="23"/>
  <c r="V26" i="23"/>
  <c r="D30" i="23"/>
  <c r="V30" i="23"/>
  <c r="M30" i="23"/>
  <c r="M79" i="23"/>
  <c r="V79" i="23"/>
  <c r="D79" i="23"/>
  <c r="AD39" i="23"/>
  <c r="AD25" i="23"/>
  <c r="V45" i="23"/>
  <c r="M45" i="23"/>
  <c r="D45" i="23"/>
  <c r="M16" i="23"/>
  <c r="D16" i="23"/>
  <c r="V16" i="23"/>
  <c r="N57" i="23"/>
  <c r="M53" i="23"/>
  <c r="V53" i="23"/>
  <c r="D53" i="23"/>
  <c r="M24" i="23"/>
  <c r="D24" i="23"/>
  <c r="V24" i="23"/>
  <c r="U68" i="23"/>
  <c r="C68" i="23"/>
  <c r="L68" i="23"/>
  <c r="E13" i="14"/>
  <c r="AD59" i="23"/>
  <c r="E59" i="23"/>
  <c r="N59" i="23"/>
  <c r="W59" i="23"/>
  <c r="D75" i="23"/>
  <c r="M75" i="23"/>
  <c r="V75" i="23"/>
  <c r="E26" i="23"/>
  <c r="N26" i="23"/>
  <c r="D43" i="23"/>
  <c r="M43" i="23"/>
  <c r="V43" i="23"/>
  <c r="M13" i="23"/>
  <c r="V13" i="23"/>
  <c r="D13" i="23"/>
  <c r="N44" i="23" l="1"/>
  <c r="E55" i="23"/>
  <c r="H9" i="19"/>
  <c r="G3" i="26" s="1"/>
  <c r="W44" i="23"/>
  <c r="N66" i="23"/>
  <c r="E34" i="23"/>
  <c r="H34" i="23" s="1"/>
  <c r="E35" i="20" s="1"/>
  <c r="C35" i="20" s="1"/>
  <c r="N62" i="23"/>
  <c r="Q62" i="23" s="1"/>
  <c r="M63" i="20" s="1"/>
  <c r="K63" i="20" s="1"/>
  <c r="N13" i="23"/>
  <c r="AF13" i="23" s="1"/>
  <c r="H72" i="19"/>
  <c r="G66" i="26" s="1"/>
  <c r="E78" i="23"/>
  <c r="E48" i="23"/>
  <c r="W55" i="23"/>
  <c r="N37" i="23"/>
  <c r="H70" i="19"/>
  <c r="G64" i="26" s="1"/>
  <c r="N76" i="23"/>
  <c r="Q76" i="23" s="1"/>
  <c r="M77" i="20" s="1"/>
  <c r="K77" i="20" s="1"/>
  <c r="H78" i="19"/>
  <c r="G72" i="26" s="1"/>
  <c r="N82" i="23"/>
  <c r="W56" i="23"/>
  <c r="E63" i="23"/>
  <c r="W9" i="23"/>
  <c r="E10" i="23"/>
  <c r="E77" i="23"/>
  <c r="H77" i="23" s="1"/>
  <c r="E78" i="20" s="1"/>
  <c r="C78" i="20" s="1"/>
  <c r="E11" i="23"/>
  <c r="H11" i="23" s="1"/>
  <c r="E12" i="20" s="1"/>
  <c r="C12" i="20" s="1"/>
  <c r="E41" i="23"/>
  <c r="H41" i="23" s="1"/>
  <c r="E42" i="20" s="1"/>
  <c r="C42" i="20" s="1"/>
  <c r="W76" i="23"/>
  <c r="N55" i="23"/>
  <c r="N9" i="23"/>
  <c r="N10" i="23"/>
  <c r="H76" i="19"/>
  <c r="G70" i="26" s="1"/>
  <c r="D22" i="26"/>
  <c r="W37" i="23"/>
  <c r="Z37" i="23" s="1"/>
  <c r="U38" i="20" s="1"/>
  <c r="S38" i="20" s="1"/>
  <c r="E37" i="23"/>
  <c r="H37" i="23" s="1"/>
  <c r="E38" i="20" s="1"/>
  <c r="C38" i="20" s="1"/>
  <c r="W34" i="23"/>
  <c r="W46" i="23"/>
  <c r="E28" i="23"/>
  <c r="H55" i="19"/>
  <c r="G49" i="26" s="1"/>
  <c r="D40" i="26"/>
  <c r="N70" i="23"/>
  <c r="Q70" i="23" s="1"/>
  <c r="M71" i="20" s="1"/>
  <c r="K71" i="20" s="1"/>
  <c r="N65" i="23"/>
  <c r="W53" i="23"/>
  <c r="Z53" i="23" s="1"/>
  <c r="U54" i="20" s="1"/>
  <c r="S54" i="20" s="1"/>
  <c r="H34" i="19"/>
  <c r="G28" i="26" s="1"/>
  <c r="W28" i="23"/>
  <c r="W33" i="23"/>
  <c r="W72" i="23"/>
  <c r="H28" i="19"/>
  <c r="G22" i="26" s="1"/>
  <c r="H11" i="19"/>
  <c r="G5" i="26" s="1"/>
  <c r="W70" i="23"/>
  <c r="N53" i="23"/>
  <c r="Q53" i="23" s="1"/>
  <c r="M54" i="20" s="1"/>
  <c r="K54" i="20" s="1"/>
  <c r="E82" i="23"/>
  <c r="E72" i="23"/>
  <c r="D52" i="26"/>
  <c r="E76" i="23"/>
  <c r="E70" i="23"/>
  <c r="H70" i="23" s="1"/>
  <c r="E71" i="20" s="1"/>
  <c r="C71" i="20" s="1"/>
  <c r="E53" i="23"/>
  <c r="H53" i="23" s="1"/>
  <c r="E54" i="20" s="1"/>
  <c r="C54" i="20" s="1"/>
  <c r="W82" i="23"/>
  <c r="Z82" i="23" s="1"/>
  <c r="U83" i="20" s="1"/>
  <c r="S83" i="20" s="1"/>
  <c r="E9" i="23"/>
  <c r="AF9" i="23" s="1"/>
  <c r="N72" i="23"/>
  <c r="H44" i="19"/>
  <c r="G38" i="26" s="1"/>
  <c r="H37" i="19"/>
  <c r="G31" i="26" s="1"/>
  <c r="N54" i="23"/>
  <c r="E50" i="23"/>
  <c r="H50" i="23" s="1"/>
  <c r="E51" i="20" s="1"/>
  <c r="C51" i="20" s="1"/>
  <c r="E75" i="23"/>
  <c r="H75" i="23" s="1"/>
  <c r="E76" i="20" s="1"/>
  <c r="C76" i="20" s="1"/>
  <c r="W30" i="23"/>
  <c r="Z30" i="23" s="1"/>
  <c r="U31" i="20" s="1"/>
  <c r="S31" i="20" s="1"/>
  <c r="N63" i="23"/>
  <c r="W54" i="23"/>
  <c r="N33" i="23"/>
  <c r="W13" i="23"/>
  <c r="W75" i="23"/>
  <c r="H74" i="19"/>
  <c r="G68" i="26" s="1"/>
  <c r="D69" i="26"/>
  <c r="E57" i="23"/>
  <c r="H57" i="23" s="1"/>
  <c r="E58" i="20" s="1"/>
  <c r="C58" i="20" s="1"/>
  <c r="N79" i="23"/>
  <c r="Q79" i="23" s="1"/>
  <c r="M80" i="20" s="1"/>
  <c r="K80" i="20" s="1"/>
  <c r="W19" i="23"/>
  <c r="N47" i="23"/>
  <c r="N48" i="23"/>
  <c r="N39" i="23"/>
  <c r="W27" i="23"/>
  <c r="AF27" i="23" s="1"/>
  <c r="H27" i="19"/>
  <c r="G21" i="26" s="1"/>
  <c r="H75" i="19"/>
  <c r="G69" i="26" s="1"/>
  <c r="H26" i="19"/>
  <c r="G20" i="26" s="1"/>
  <c r="N74" i="23"/>
  <c r="H33" i="19"/>
  <c r="G27" i="26" s="1"/>
  <c r="H47" i="19"/>
  <c r="G41" i="26" s="1"/>
  <c r="W79" i="23"/>
  <c r="E19" i="23"/>
  <c r="E47" i="23"/>
  <c r="H47" i="23" s="1"/>
  <c r="E48" i="20" s="1"/>
  <c r="C48" i="20" s="1"/>
  <c r="N38" i="23"/>
  <c r="Q38" i="23" s="1"/>
  <c r="M39" i="20" s="1"/>
  <c r="K39" i="20" s="1"/>
  <c r="E39" i="23"/>
  <c r="AF39" i="23" s="1"/>
  <c r="E27" i="23"/>
  <c r="W74" i="23"/>
  <c r="E79" i="23"/>
  <c r="H19" i="19"/>
  <c r="G13" i="26" s="1"/>
  <c r="N56" i="23"/>
  <c r="Q56" i="23" s="1"/>
  <c r="M57" i="20" s="1"/>
  <c r="K57" i="20" s="1"/>
  <c r="H38" i="19"/>
  <c r="G32" i="26" s="1"/>
  <c r="W22" i="23"/>
  <c r="W63" i="23"/>
  <c r="Z63" i="23" s="1"/>
  <c r="U64" i="20" s="1"/>
  <c r="S64" i="20" s="1"/>
  <c r="N50" i="23"/>
  <c r="E33" i="23"/>
  <c r="D4" i="26"/>
  <c r="N12" i="23"/>
  <c r="H21" i="19"/>
  <c r="G15" i="26" s="1"/>
  <c r="H32" i="19"/>
  <c r="G26" i="26" s="1"/>
  <c r="D15" i="26"/>
  <c r="D36" i="26"/>
  <c r="N17" i="23"/>
  <c r="Q17" i="23" s="1"/>
  <c r="M18" i="20" s="1"/>
  <c r="K18" i="20" s="1"/>
  <c r="W21" i="23"/>
  <c r="E12" i="23"/>
  <c r="H30" i="19"/>
  <c r="G24" i="26" s="1"/>
  <c r="D33" i="26"/>
  <c r="D73" i="26"/>
  <c r="E17" i="23"/>
  <c r="H17" i="23" s="1"/>
  <c r="E18" i="20" s="1"/>
  <c r="C18" i="20" s="1"/>
  <c r="N42" i="23"/>
  <c r="AF42" i="23" s="1"/>
  <c r="H17" i="19"/>
  <c r="G11" i="26" s="1"/>
  <c r="E67" i="23"/>
  <c r="E42" i="23"/>
  <c r="D65" i="26"/>
  <c r="D50" i="26"/>
  <c r="N67" i="23"/>
  <c r="Q67" i="23" s="1"/>
  <c r="M68" i="20" s="1"/>
  <c r="K68" i="20" s="1"/>
  <c r="W14" i="23"/>
  <c r="Z14" i="23" s="1"/>
  <c r="U15" i="20" s="1"/>
  <c r="S15" i="20" s="1"/>
  <c r="W67" i="23"/>
  <c r="Z67" i="23" s="1"/>
  <c r="U68" i="20" s="1"/>
  <c r="S68" i="20" s="1"/>
  <c r="W35" i="23"/>
  <c r="Z35" i="23" s="1"/>
  <c r="U36" i="20" s="1"/>
  <c r="S36" i="20" s="1"/>
  <c r="W42" i="23"/>
  <c r="W24" i="23"/>
  <c r="H12" i="19"/>
  <c r="G6" i="26" s="1"/>
  <c r="D43" i="26"/>
  <c r="E14" i="23"/>
  <c r="H14" i="23" s="1"/>
  <c r="E15" i="20" s="1"/>
  <c r="C15" i="20" s="1"/>
  <c r="H67" i="19"/>
  <c r="G61" i="26" s="1"/>
  <c r="N36" i="23"/>
  <c r="Q36" i="23" s="1"/>
  <c r="M37" i="20" s="1"/>
  <c r="K37" i="20" s="1"/>
  <c r="H24" i="19"/>
  <c r="G18" i="26" s="1"/>
  <c r="H35" i="19"/>
  <c r="G29" i="26" s="1"/>
  <c r="D37" i="26"/>
  <c r="AV52" i="9"/>
  <c r="D52" i="17"/>
  <c r="W50" i="23"/>
  <c r="Z50" i="23" s="1"/>
  <c r="U51" i="20" s="1"/>
  <c r="S51" i="20" s="1"/>
  <c r="N30" i="23"/>
  <c r="Q30" i="23" s="1"/>
  <c r="M31" i="20" s="1"/>
  <c r="K31" i="20" s="1"/>
  <c r="W57" i="23"/>
  <c r="Z57" i="23" s="1"/>
  <c r="U58" i="20" s="1"/>
  <c r="S58" i="20" s="1"/>
  <c r="N51" i="23"/>
  <c r="E65" i="23"/>
  <c r="H53" i="19"/>
  <c r="G47" i="26" s="1"/>
  <c r="N25" i="23"/>
  <c r="E29" i="23"/>
  <c r="AF29" i="23" s="1"/>
  <c r="W66" i="23"/>
  <c r="Z66" i="23" s="1"/>
  <c r="U67" i="20" s="1"/>
  <c r="S67" i="20" s="1"/>
  <c r="W48" i="23"/>
  <c r="AF48" i="23" s="1"/>
  <c r="N23" i="23"/>
  <c r="Q23" i="23" s="1"/>
  <c r="M24" i="20" s="1"/>
  <c r="K24" i="20" s="1"/>
  <c r="W38" i="23"/>
  <c r="N61" i="23"/>
  <c r="W77" i="23"/>
  <c r="N27" i="23"/>
  <c r="E62" i="23"/>
  <c r="H62" i="23" s="1"/>
  <c r="E63" i="20" s="1"/>
  <c r="C63" i="20" s="1"/>
  <c r="E45" i="23"/>
  <c r="H45" i="23" s="1"/>
  <c r="E46" i="20" s="1"/>
  <c r="C46" i="20" s="1"/>
  <c r="H62" i="19"/>
  <c r="G56" i="26" s="1"/>
  <c r="H41" i="19"/>
  <c r="G35" i="26" s="1"/>
  <c r="H36" i="19"/>
  <c r="G30" i="26" s="1"/>
  <c r="H63" i="19"/>
  <c r="G57" i="26" s="1"/>
  <c r="H39" i="19"/>
  <c r="G33" i="26" s="1"/>
  <c r="D44" i="26"/>
  <c r="D18" i="26"/>
  <c r="D29" i="26"/>
  <c r="D42" i="26"/>
  <c r="D39" i="26"/>
  <c r="D76" i="26"/>
  <c r="D51" i="26"/>
  <c r="D45" i="26"/>
  <c r="D5" i="26"/>
  <c r="D71" i="26"/>
  <c r="D26" i="26"/>
  <c r="D35" i="26"/>
  <c r="D59" i="26"/>
  <c r="D13" i="26"/>
  <c r="D53" i="26"/>
  <c r="D38" i="26"/>
  <c r="D60" i="26"/>
  <c r="E51" i="23"/>
  <c r="H51" i="23" s="1"/>
  <c r="E52" i="20" s="1"/>
  <c r="C52" i="20" s="1"/>
  <c r="W65" i="23"/>
  <c r="Z65" i="23" s="1"/>
  <c r="U66" i="20" s="1"/>
  <c r="S66" i="20" s="1"/>
  <c r="N77" i="23"/>
  <c r="Q77" i="23" s="1"/>
  <c r="M78" i="20" s="1"/>
  <c r="K78" i="20" s="1"/>
  <c r="N21" i="23"/>
  <c r="AF21" i="23" s="1"/>
  <c r="W32" i="23"/>
  <c r="Z32" i="23" s="1"/>
  <c r="U33" i="20" s="1"/>
  <c r="S33" i="20" s="1"/>
  <c r="W71" i="23"/>
  <c r="E30" i="23"/>
  <c r="H30" i="23" s="1"/>
  <c r="E31" i="20" s="1"/>
  <c r="C31" i="20" s="1"/>
  <c r="W51" i="23"/>
  <c r="N14" i="23"/>
  <c r="E22" i="23"/>
  <c r="H22" i="23" s="1"/>
  <c r="E23" i="20" s="1"/>
  <c r="C23" i="20" s="1"/>
  <c r="W36" i="23"/>
  <c r="W78" i="23"/>
  <c r="Z78" i="23" s="1"/>
  <c r="U79" i="20" s="1"/>
  <c r="S79" i="20" s="1"/>
  <c r="E56" i="23"/>
  <c r="H56" i="23" s="1"/>
  <c r="E57" i="20" s="1"/>
  <c r="C57" i="20" s="1"/>
  <c r="E23" i="23"/>
  <c r="E54" i="23"/>
  <c r="AF54" i="23" s="1"/>
  <c r="E38" i="23"/>
  <c r="W73" i="23"/>
  <c r="AF73" i="23" s="1"/>
  <c r="W81" i="23"/>
  <c r="Z81" i="23" s="1"/>
  <c r="U82" i="20" s="1"/>
  <c r="S82" i="20" s="1"/>
  <c r="W10" i="23"/>
  <c r="Z10" i="23" s="1"/>
  <c r="U11" i="20" s="1"/>
  <c r="S11" i="20" s="1"/>
  <c r="W80" i="23"/>
  <c r="Z80" i="23" s="1"/>
  <c r="U81" i="20" s="1"/>
  <c r="S81" i="20" s="1"/>
  <c r="N32" i="23"/>
  <c r="Q32" i="23" s="1"/>
  <c r="M33" i="20" s="1"/>
  <c r="K33" i="20" s="1"/>
  <c r="E71" i="23"/>
  <c r="W12" i="23"/>
  <c r="Z12" i="23" s="1"/>
  <c r="U13" i="20" s="1"/>
  <c r="S13" i="20" s="1"/>
  <c r="E16" i="23"/>
  <c r="H25" i="19"/>
  <c r="G19" i="26" s="1"/>
  <c r="D72" i="26"/>
  <c r="D7" i="26"/>
  <c r="D17" i="26"/>
  <c r="D48" i="26"/>
  <c r="D11" i="26"/>
  <c r="D28" i="26"/>
  <c r="D67" i="26"/>
  <c r="D74" i="26"/>
  <c r="D10" i="26"/>
  <c r="E35" i="23"/>
  <c r="N11" i="23"/>
  <c r="AF11" i="23" s="1"/>
  <c r="N71" i="23"/>
  <c r="Q71" i="23" s="1"/>
  <c r="M72" i="20" s="1"/>
  <c r="K72" i="20" s="1"/>
  <c r="W41" i="23"/>
  <c r="N24" i="23"/>
  <c r="Q24" i="23" s="1"/>
  <c r="M25" i="20" s="1"/>
  <c r="K25" i="20" s="1"/>
  <c r="H13" i="19"/>
  <c r="G7" i="26" s="1"/>
  <c r="W26" i="23"/>
  <c r="Z26" i="23" s="1"/>
  <c r="U27" i="20" s="1"/>
  <c r="S27" i="20" s="1"/>
  <c r="E74" i="23"/>
  <c r="H74" i="23" s="1"/>
  <c r="E75" i="20" s="1"/>
  <c r="C75" i="20" s="1"/>
  <c r="H14" i="19"/>
  <c r="G8" i="26" s="1"/>
  <c r="H22" i="19"/>
  <c r="G16" i="26" s="1"/>
  <c r="E36" i="23"/>
  <c r="H36" i="23" s="1"/>
  <c r="E37" i="20" s="1"/>
  <c r="C37" i="20" s="1"/>
  <c r="N46" i="23"/>
  <c r="E81" i="23"/>
  <c r="H81" i="23" s="1"/>
  <c r="E82" i="20" s="1"/>
  <c r="C82" i="20" s="1"/>
  <c r="E80" i="23"/>
  <c r="H80" i="23" s="1"/>
  <c r="E81" i="20" s="1"/>
  <c r="C81" i="20" s="1"/>
  <c r="H29" i="19"/>
  <c r="G23" i="26" s="1"/>
  <c r="H13" i="23"/>
  <c r="E14" i="20" s="1"/>
  <c r="C14" i="20" s="1"/>
  <c r="Q64" i="23"/>
  <c r="M65" i="20" s="1"/>
  <c r="K65" i="20" s="1"/>
  <c r="Z64" i="23"/>
  <c r="U65" i="20" s="1"/>
  <c r="S65" i="20" s="1"/>
  <c r="H64" i="23"/>
  <c r="E65" i="20" s="1"/>
  <c r="C65" i="20" s="1"/>
  <c r="AF64" i="23"/>
  <c r="AE64" i="23"/>
  <c r="I13" i="14"/>
  <c r="G13" i="14"/>
  <c r="K13" i="14"/>
  <c r="Z48" i="23"/>
  <c r="U49" i="20" s="1"/>
  <c r="S49" i="20" s="1"/>
  <c r="H31" i="23"/>
  <c r="E32" i="20" s="1"/>
  <c r="C32" i="20" s="1"/>
  <c r="H16" i="23"/>
  <c r="E17" i="20" s="1"/>
  <c r="C17" i="20" s="1"/>
  <c r="H67" i="23"/>
  <c r="E68" i="20" s="1"/>
  <c r="C68" i="20" s="1"/>
  <c r="H73" i="23"/>
  <c r="E74" i="20" s="1"/>
  <c r="C74" i="20" s="1"/>
  <c r="Z75" i="23"/>
  <c r="U76" i="20" s="1"/>
  <c r="S76" i="20" s="1"/>
  <c r="Q57" i="23"/>
  <c r="M58" i="20" s="1"/>
  <c r="K58" i="20" s="1"/>
  <c r="Q75" i="23"/>
  <c r="M76" i="20" s="1"/>
  <c r="K76" i="20" s="1"/>
  <c r="Q80" i="23"/>
  <c r="M81" i="20" s="1"/>
  <c r="K81" i="20" s="1"/>
  <c r="Q19" i="23"/>
  <c r="M20" i="20" s="1"/>
  <c r="K20" i="20" s="1"/>
  <c r="Z13" i="23"/>
  <c r="U14" i="20" s="1"/>
  <c r="S14" i="20" s="1"/>
  <c r="Q82" i="23"/>
  <c r="M83" i="20" s="1"/>
  <c r="K83" i="20" s="1"/>
  <c r="Q65" i="23"/>
  <c r="M66" i="20" s="1"/>
  <c r="K66" i="20" s="1"/>
  <c r="H82" i="23"/>
  <c r="E83" i="20" s="1"/>
  <c r="C83" i="20" s="1"/>
  <c r="H20" i="23"/>
  <c r="E21" i="20" s="1"/>
  <c r="C21" i="20" s="1"/>
  <c r="Q43" i="23"/>
  <c r="M44" i="20" s="1"/>
  <c r="K44" i="20" s="1"/>
  <c r="Z33" i="23"/>
  <c r="U34" i="20" s="1"/>
  <c r="S34" i="20" s="1"/>
  <c r="Q74" i="23"/>
  <c r="M75" i="20" s="1"/>
  <c r="K75" i="20" s="1"/>
  <c r="Z40" i="23"/>
  <c r="U41" i="20" s="1"/>
  <c r="S41" i="20" s="1"/>
  <c r="H33" i="23"/>
  <c r="E34" i="20" s="1"/>
  <c r="C34" i="20" s="1"/>
  <c r="Z17" i="23"/>
  <c r="U18" i="20" s="1"/>
  <c r="S18" i="20" s="1"/>
  <c r="H40" i="23"/>
  <c r="E41" i="20" s="1"/>
  <c r="C41" i="20" s="1"/>
  <c r="Z19" i="23"/>
  <c r="U20" i="20" s="1"/>
  <c r="S20" i="20" s="1"/>
  <c r="H61" i="23"/>
  <c r="E62" i="20" s="1"/>
  <c r="C62" i="20" s="1"/>
  <c r="Q81" i="23"/>
  <c r="M82" i="20" s="1"/>
  <c r="K82" i="20" s="1"/>
  <c r="Z11" i="23"/>
  <c r="U12" i="20" s="1"/>
  <c r="S12" i="20" s="1"/>
  <c r="Z15" i="23"/>
  <c r="U16" i="20" s="1"/>
  <c r="S16" i="20" s="1"/>
  <c r="Z43" i="23"/>
  <c r="U44" i="20" s="1"/>
  <c r="S44" i="20" s="1"/>
  <c r="Q15" i="23"/>
  <c r="M16" i="20" s="1"/>
  <c r="K16" i="20" s="1"/>
  <c r="Q58" i="23"/>
  <c r="M59" i="20" s="1"/>
  <c r="K59" i="20" s="1"/>
  <c r="Z70" i="23"/>
  <c r="U71" i="20" s="1"/>
  <c r="S71" i="20" s="1"/>
  <c r="Q35" i="23"/>
  <c r="M36" i="20" s="1"/>
  <c r="K36" i="20" s="1"/>
  <c r="Q31" i="23"/>
  <c r="M32" i="20" s="1"/>
  <c r="K32" i="20" s="1"/>
  <c r="Q45" i="23"/>
  <c r="M46" i="20" s="1"/>
  <c r="K46" i="20" s="1"/>
  <c r="Q48" i="23"/>
  <c r="M49" i="20" s="1"/>
  <c r="K49" i="20" s="1"/>
  <c r="Z21" i="23"/>
  <c r="U22" i="20" s="1"/>
  <c r="S22" i="20" s="1"/>
  <c r="H59" i="23"/>
  <c r="E60" i="20" s="1"/>
  <c r="C60" i="20" s="1"/>
  <c r="Q12" i="23"/>
  <c r="M13" i="20" s="1"/>
  <c r="K13" i="20" s="1"/>
  <c r="Q25" i="23"/>
  <c r="M26" i="20" s="1"/>
  <c r="K26" i="20" s="1"/>
  <c r="H76" i="23"/>
  <c r="E77" i="20" s="1"/>
  <c r="C77" i="20" s="1"/>
  <c r="Q69" i="23"/>
  <c r="M70" i="20" s="1"/>
  <c r="K70" i="20" s="1"/>
  <c r="Q10" i="23"/>
  <c r="M11" i="20" s="1"/>
  <c r="K11" i="20" s="1"/>
  <c r="Q61" i="23"/>
  <c r="M62" i="20" s="1"/>
  <c r="K62" i="20" s="1"/>
  <c r="Q60" i="23"/>
  <c r="M61" i="20" s="1"/>
  <c r="K61" i="20" s="1"/>
  <c r="Z49" i="23"/>
  <c r="U50" i="20" s="1"/>
  <c r="S50" i="20" s="1"/>
  <c r="Q44" i="23"/>
  <c r="M45" i="20" s="1"/>
  <c r="K45" i="20" s="1"/>
  <c r="Z44" i="23"/>
  <c r="U45" i="20" s="1"/>
  <c r="S45" i="20" s="1"/>
  <c r="Q47" i="23"/>
  <c r="M48" i="20" s="1"/>
  <c r="K48" i="20" s="1"/>
  <c r="H79" i="23"/>
  <c r="E80" i="20" s="1"/>
  <c r="C80" i="20" s="1"/>
  <c r="Q39" i="23"/>
  <c r="M40" i="20" s="1"/>
  <c r="K40" i="20" s="1"/>
  <c r="H10" i="23"/>
  <c r="E11" i="20" s="1"/>
  <c r="C11" i="20" s="1"/>
  <c r="H32" i="23"/>
  <c r="E33" i="20" s="1"/>
  <c r="C33" i="20" s="1"/>
  <c r="Z62" i="23"/>
  <c r="U63" i="20" s="1"/>
  <c r="S63" i="20" s="1"/>
  <c r="Z60" i="23"/>
  <c r="U61" i="20" s="1"/>
  <c r="S61" i="20" s="1"/>
  <c r="Q49" i="23"/>
  <c r="M50" i="20" s="1"/>
  <c r="K50" i="20" s="1"/>
  <c r="Z41" i="23"/>
  <c r="U42" i="20" s="1"/>
  <c r="S42" i="20" s="1"/>
  <c r="Z45" i="23"/>
  <c r="U46" i="20" s="1"/>
  <c r="S46" i="20" s="1"/>
  <c r="Z74" i="23"/>
  <c r="U75" i="20" s="1"/>
  <c r="S75" i="20" s="1"/>
  <c r="Q51" i="23"/>
  <c r="M52" i="20" s="1"/>
  <c r="K52" i="20" s="1"/>
  <c r="H65" i="23"/>
  <c r="E66" i="20" s="1"/>
  <c r="C66" i="20" s="1"/>
  <c r="Z23" i="23"/>
  <c r="U24" i="20" s="1"/>
  <c r="S24" i="20" s="1"/>
  <c r="Z25" i="23"/>
  <c r="U26" i="20" s="1"/>
  <c r="S26" i="20" s="1"/>
  <c r="Q78" i="23"/>
  <c r="M79" i="20" s="1"/>
  <c r="K79" i="20" s="1"/>
  <c r="Q29" i="23"/>
  <c r="M30" i="20" s="1"/>
  <c r="K30" i="20" s="1"/>
  <c r="Q34" i="23"/>
  <c r="M35" i="20" s="1"/>
  <c r="K35" i="20" s="1"/>
  <c r="Z61" i="23"/>
  <c r="U62" i="20" s="1"/>
  <c r="S62" i="20" s="1"/>
  <c r="Z9" i="23"/>
  <c r="U10" i="20" s="1"/>
  <c r="S10" i="20" s="1"/>
  <c r="Z56" i="23"/>
  <c r="U57" i="20" s="1"/>
  <c r="S57" i="20" s="1"/>
  <c r="H28" i="23"/>
  <c r="E29" i="20" s="1"/>
  <c r="C29" i="20" s="1"/>
  <c r="Z27" i="23"/>
  <c r="U28" i="20" s="1"/>
  <c r="S28" i="20" s="1"/>
  <c r="H15" i="23"/>
  <c r="E16" i="20" s="1"/>
  <c r="C16" i="20" s="1"/>
  <c r="Z58" i="23"/>
  <c r="U59" i="20" s="1"/>
  <c r="S59" i="20" s="1"/>
  <c r="Z72" i="23"/>
  <c r="U73" i="20" s="1"/>
  <c r="S73" i="20" s="1"/>
  <c r="Q37" i="23"/>
  <c r="M38" i="20" s="1"/>
  <c r="K38" i="20" s="1"/>
  <c r="H71" i="23"/>
  <c r="E72" i="20" s="1"/>
  <c r="C72" i="20" s="1"/>
  <c r="Q41" i="23"/>
  <c r="M42" i="20" s="1"/>
  <c r="K42" i="20" s="1"/>
  <c r="H54" i="23"/>
  <c r="E55" i="20" s="1"/>
  <c r="C55" i="20" s="1"/>
  <c r="Z54" i="23"/>
  <c r="U55" i="20" s="1"/>
  <c r="S55" i="20" s="1"/>
  <c r="Z46" i="23"/>
  <c r="U47" i="20" s="1"/>
  <c r="S47" i="20" s="1"/>
  <c r="H43" i="23"/>
  <c r="E44" i="20" s="1"/>
  <c r="C44" i="20" s="1"/>
  <c r="Q66" i="23"/>
  <c r="M67" i="20" s="1"/>
  <c r="K67" i="20" s="1"/>
  <c r="Z29" i="23"/>
  <c r="U30" i="20" s="1"/>
  <c r="S30" i="20" s="1"/>
  <c r="H21" i="23"/>
  <c r="E22" i="20" s="1"/>
  <c r="C22" i="20" s="1"/>
  <c r="H27" i="23"/>
  <c r="E28" i="20" s="1"/>
  <c r="C28" i="20" s="1"/>
  <c r="H58" i="23"/>
  <c r="E59" i="20" s="1"/>
  <c r="C59" i="20" s="1"/>
  <c r="Q72" i="23"/>
  <c r="M73" i="20" s="1"/>
  <c r="K73" i="20" s="1"/>
  <c r="H26" i="23"/>
  <c r="E27" i="20" s="1"/>
  <c r="C27" i="20" s="1"/>
  <c r="Q50" i="23"/>
  <c r="M51" i="20" s="1"/>
  <c r="K51" i="20" s="1"/>
  <c r="Z16" i="23"/>
  <c r="U17" i="20" s="1"/>
  <c r="S17" i="20" s="1"/>
  <c r="Q22" i="23"/>
  <c r="M23" i="20" s="1"/>
  <c r="K23" i="20" s="1"/>
  <c r="H23" i="23"/>
  <c r="E24" i="20" s="1"/>
  <c r="C24" i="20" s="1"/>
  <c r="H25" i="23"/>
  <c r="E26" i="20" s="1"/>
  <c r="C26" i="20" s="1"/>
  <c r="H48" i="23"/>
  <c r="E49" i="20" s="1"/>
  <c r="C49" i="20" s="1"/>
  <c r="H63" i="23"/>
  <c r="E64" i="20" s="1"/>
  <c r="C64" i="20" s="1"/>
  <c r="Z69" i="23"/>
  <c r="U70" i="20" s="1"/>
  <c r="S70" i="20" s="1"/>
  <c r="Z77" i="23"/>
  <c r="U78" i="20" s="1"/>
  <c r="S78" i="20" s="1"/>
  <c r="Z28" i="23"/>
  <c r="U29" i="20" s="1"/>
  <c r="S29" i="20" s="1"/>
  <c r="Q27" i="23"/>
  <c r="M28" i="20" s="1"/>
  <c r="K28" i="20" s="1"/>
  <c r="H18" i="23"/>
  <c r="E19" i="20" s="1"/>
  <c r="C19" i="20" s="1"/>
  <c r="H72" i="23"/>
  <c r="E73" i="20" s="1"/>
  <c r="C73" i="20" s="1"/>
  <c r="Z71" i="23"/>
  <c r="U72" i="20" s="1"/>
  <c r="S72" i="20" s="1"/>
  <c r="Z18" i="23"/>
  <c r="U19" i="20" s="1"/>
  <c r="S19" i="20" s="1"/>
  <c r="H44" i="23"/>
  <c r="E45" i="20" s="1"/>
  <c r="C45" i="20" s="1"/>
  <c r="Q26" i="23"/>
  <c r="M27" i="20" s="1"/>
  <c r="K27" i="20" s="1"/>
  <c r="Z47" i="23"/>
  <c r="U48" i="20" s="1"/>
  <c r="S48" i="20" s="1"/>
  <c r="Z76" i="23"/>
  <c r="U77" i="20" s="1"/>
  <c r="S77" i="20" s="1"/>
  <c r="Q18" i="23"/>
  <c r="M19" i="20" s="1"/>
  <c r="K19" i="20" s="1"/>
  <c r="Z36" i="23"/>
  <c r="U37" i="20" s="1"/>
  <c r="S37" i="20" s="1"/>
  <c r="Q73" i="23"/>
  <c r="M74" i="20" s="1"/>
  <c r="K74" i="20" s="1"/>
  <c r="H12" i="23"/>
  <c r="E13" i="20" s="1"/>
  <c r="C13" i="20" s="1"/>
  <c r="Q59" i="23"/>
  <c r="M60" i="20" s="1"/>
  <c r="K60" i="20" s="1"/>
  <c r="Z51" i="23"/>
  <c r="U52" i="20" s="1"/>
  <c r="S52" i="20" s="1"/>
  <c r="Q20" i="23"/>
  <c r="M21" i="20" s="1"/>
  <c r="K21" i="20" s="1"/>
  <c r="Q46" i="23"/>
  <c r="M47" i="20" s="1"/>
  <c r="K47" i="20" s="1"/>
  <c r="Z34" i="23"/>
  <c r="U35" i="20" s="1"/>
  <c r="S35" i="20" s="1"/>
  <c r="H55" i="23"/>
  <c r="E56" i="20" s="1"/>
  <c r="C56" i="20" s="1"/>
  <c r="H69" i="23"/>
  <c r="E70" i="20" s="1"/>
  <c r="C70" i="20" s="1"/>
  <c r="Q9" i="23"/>
  <c r="M10" i="20" s="1"/>
  <c r="K10" i="20" s="1"/>
  <c r="Z20" i="23"/>
  <c r="U21" i="20" s="1"/>
  <c r="S21" i="20" s="1"/>
  <c r="Q28" i="23"/>
  <c r="M29" i="20" s="1"/>
  <c r="K29" i="20" s="1"/>
  <c r="Q40" i="23"/>
  <c r="M41" i="20" s="1"/>
  <c r="K41" i="20" s="1"/>
  <c r="H19" i="23"/>
  <c r="E20" i="20" s="1"/>
  <c r="C20" i="20" s="1"/>
  <c r="H66" i="23"/>
  <c r="E67" i="20" s="1"/>
  <c r="C67" i="20" s="1"/>
  <c r="Q55" i="23"/>
  <c r="M56" i="20" s="1"/>
  <c r="K56" i="20" s="1"/>
  <c r="H42" i="23"/>
  <c r="E43" i="20" s="1"/>
  <c r="C43" i="20" s="1"/>
  <c r="H24" i="23"/>
  <c r="E25" i="20" s="1"/>
  <c r="C25" i="20" s="1"/>
  <c r="Z79" i="23"/>
  <c r="U80" i="20" s="1"/>
  <c r="S80" i="20" s="1"/>
  <c r="Z55" i="23"/>
  <c r="U56" i="20" s="1"/>
  <c r="S56" i="20" s="1"/>
  <c r="Z42" i="23"/>
  <c r="U43" i="20" s="1"/>
  <c r="S43" i="20" s="1"/>
  <c r="H60" i="23"/>
  <c r="E61" i="20" s="1"/>
  <c r="C61" i="20" s="1"/>
  <c r="H49" i="23"/>
  <c r="E50" i="20" s="1"/>
  <c r="C50" i="20" s="1"/>
  <c r="Z24" i="23"/>
  <c r="U25" i="20" s="1"/>
  <c r="S25" i="20" s="1"/>
  <c r="Q54" i="23"/>
  <c r="M55" i="20" s="1"/>
  <c r="K55" i="20" s="1"/>
  <c r="Z31" i="23"/>
  <c r="U32" i="20" s="1"/>
  <c r="S32" i="20" s="1"/>
  <c r="Z59" i="23"/>
  <c r="U60" i="20" s="1"/>
  <c r="S60" i="20" s="1"/>
  <c r="Z22" i="23"/>
  <c r="U23" i="20" s="1"/>
  <c r="S23" i="20" s="1"/>
  <c r="H35" i="23"/>
  <c r="E36" i="20" s="1"/>
  <c r="C36" i="20" s="1"/>
  <c r="H78" i="23"/>
  <c r="E79" i="20" s="1"/>
  <c r="C79" i="20" s="1"/>
  <c r="H38" i="23"/>
  <c r="E39" i="20" s="1"/>
  <c r="C39" i="20" s="1"/>
  <c r="H46" i="23"/>
  <c r="E47" i="20" s="1"/>
  <c r="C47" i="20" s="1"/>
  <c r="Z39" i="23"/>
  <c r="U40" i="20" s="1"/>
  <c r="S40" i="20" s="1"/>
  <c r="Q33" i="23"/>
  <c r="M34" i="20" s="1"/>
  <c r="K34" i="20" s="1"/>
  <c r="Q16" i="23"/>
  <c r="M17" i="20" s="1"/>
  <c r="K17" i="20" s="1"/>
  <c r="AE73" i="23"/>
  <c r="AF58" i="23"/>
  <c r="AF12" i="23"/>
  <c r="AE16" i="23"/>
  <c r="AE79" i="23"/>
  <c r="AE30" i="23"/>
  <c r="AE44" i="23"/>
  <c r="AE80" i="23"/>
  <c r="AF61" i="23"/>
  <c r="AD8" i="23"/>
  <c r="AE78" i="23"/>
  <c r="AE11" i="23"/>
  <c r="AE42" i="23"/>
  <c r="AE15" i="23"/>
  <c r="AE59" i="23"/>
  <c r="AE40" i="23"/>
  <c r="AE55" i="23"/>
  <c r="AE38" i="23"/>
  <c r="AE26" i="23"/>
  <c r="AE36" i="23"/>
  <c r="AE10" i="23"/>
  <c r="AE32" i="23"/>
  <c r="AE71" i="23"/>
  <c r="AF16" i="23"/>
  <c r="AE13" i="23"/>
  <c r="AE24" i="23"/>
  <c r="AE77" i="23"/>
  <c r="AE70" i="23"/>
  <c r="AE19" i="23"/>
  <c r="AE62" i="23"/>
  <c r="AE27" i="23"/>
  <c r="AF15" i="23"/>
  <c r="AE76" i="23"/>
  <c r="AF46" i="23"/>
  <c r="AE60" i="23"/>
  <c r="AE49" i="23"/>
  <c r="AF72" i="23"/>
  <c r="AE53" i="23"/>
  <c r="AE14" i="23"/>
  <c r="AE54" i="23"/>
  <c r="AE17" i="23"/>
  <c r="AE48" i="23"/>
  <c r="AE63" i="23"/>
  <c r="AF10" i="23"/>
  <c r="AE9" i="23"/>
  <c r="AF18" i="23"/>
  <c r="AE72" i="23"/>
  <c r="AF43" i="23"/>
  <c r="AE33" i="23"/>
  <c r="AF20" i="23"/>
  <c r="AE39" i="23"/>
  <c r="AE61" i="23"/>
  <c r="AE37" i="23"/>
  <c r="AE12" i="23"/>
  <c r="AF59" i="23"/>
  <c r="AF44" i="23"/>
  <c r="AE57" i="23"/>
  <c r="AF19" i="23"/>
  <c r="AE29" i="23"/>
  <c r="AF56" i="23"/>
  <c r="AF69" i="23"/>
  <c r="AF28" i="23"/>
  <c r="AE56" i="23"/>
  <c r="AE34" i="23"/>
  <c r="AE50" i="23"/>
  <c r="AF24" i="23"/>
  <c r="AE74" i="23"/>
  <c r="AE75" i="23"/>
  <c r="AE43" i="23"/>
  <c r="AE65" i="23"/>
  <c r="AE23" i="23"/>
  <c r="AE25" i="23"/>
  <c r="AE22" i="23"/>
  <c r="AE52" i="23"/>
  <c r="AE67" i="23"/>
  <c r="AF32" i="23"/>
  <c r="AF40" i="23"/>
  <c r="AE58" i="23"/>
  <c r="AE21" i="23"/>
  <c r="AF31" i="23"/>
  <c r="AE35" i="23"/>
  <c r="AF25" i="23"/>
  <c r="AE51" i="23"/>
  <c r="AE66" i="23"/>
  <c r="AE81" i="23"/>
  <c r="AE69" i="23"/>
  <c r="AE18" i="23"/>
  <c r="AE47" i="23"/>
  <c r="D8" i="19"/>
  <c r="C2" i="26" s="1"/>
  <c r="AF55" i="23"/>
  <c r="AE20" i="23"/>
  <c r="D64" i="9"/>
  <c r="E8" i="19" s="1"/>
  <c r="AD68" i="23"/>
  <c r="AE31" i="23"/>
  <c r="U83" i="23"/>
  <c r="Q15" i="24" s="1"/>
  <c r="AE45" i="23"/>
  <c r="AE46" i="23"/>
  <c r="AF60" i="23"/>
  <c r="AE28" i="23"/>
  <c r="AF49" i="23"/>
  <c r="L83" i="23"/>
  <c r="K15" i="24" s="1"/>
  <c r="AE82" i="23"/>
  <c r="D65" i="15"/>
  <c r="BL65" i="10"/>
  <c r="AF33" i="23"/>
  <c r="C83" i="23"/>
  <c r="E15" i="24" s="1"/>
  <c r="BL62" i="9"/>
  <c r="AE41" i="23"/>
  <c r="AF70" i="23" l="1"/>
  <c r="AF34" i="23"/>
  <c r="AF75" i="23"/>
  <c r="AF41" i="23"/>
  <c r="Q11" i="23"/>
  <c r="M12" i="20" s="1"/>
  <c r="K12" i="20" s="1"/>
  <c r="AF79" i="23"/>
  <c r="AF37" i="23"/>
  <c r="AF30" i="23"/>
  <c r="AI30" i="23" s="1"/>
  <c r="AC31" i="20" s="1"/>
  <c r="AA31" i="20" s="1"/>
  <c r="AF76" i="23"/>
  <c r="AI76" i="23" s="1"/>
  <c r="AC77" i="20" s="1"/>
  <c r="AA77" i="20" s="1"/>
  <c r="Q42" i="23"/>
  <c r="M43" i="20" s="1"/>
  <c r="K43" i="20" s="1"/>
  <c r="Q13" i="23"/>
  <c r="M14" i="20" s="1"/>
  <c r="K14" i="20" s="1"/>
  <c r="AF77" i="23"/>
  <c r="AF82" i="23"/>
  <c r="H39" i="23"/>
  <c r="E40" i="20" s="1"/>
  <c r="C40" i="20" s="1"/>
  <c r="AF78" i="23"/>
  <c r="AF80" i="23"/>
  <c r="AI80" i="23" s="1"/>
  <c r="AC81" i="20" s="1"/>
  <c r="AA81" i="20" s="1"/>
  <c r="AF63" i="23"/>
  <c r="AI63" i="23" s="1"/>
  <c r="AC64" i="20" s="1"/>
  <c r="AA64" i="20" s="1"/>
  <c r="AF67" i="23"/>
  <c r="AI67" i="23" s="1"/>
  <c r="AC68" i="20" s="1"/>
  <c r="AA68" i="20" s="1"/>
  <c r="AF47" i="23"/>
  <c r="AF57" i="23"/>
  <c r="Q21" i="23"/>
  <c r="M22" i="20" s="1"/>
  <c r="K22" i="20" s="1"/>
  <c r="H9" i="23"/>
  <c r="E10" i="20" s="1"/>
  <c r="C10" i="20" s="1"/>
  <c r="AF23" i="23"/>
  <c r="AI23" i="23" s="1"/>
  <c r="AC24" i="20" s="1"/>
  <c r="AA24" i="20" s="1"/>
  <c r="AF53" i="23"/>
  <c r="AI53" i="23" s="1"/>
  <c r="AC54" i="20" s="1"/>
  <c r="AA54" i="20" s="1"/>
  <c r="AF66" i="23"/>
  <c r="AI66" i="23" s="1"/>
  <c r="AC67" i="20" s="1"/>
  <c r="AA67" i="20" s="1"/>
  <c r="AF50" i="23"/>
  <c r="Q63" i="23"/>
  <c r="M64" i="20" s="1"/>
  <c r="K64" i="20" s="1"/>
  <c r="AF26" i="23"/>
  <c r="AF14" i="23"/>
  <c r="AF22" i="23"/>
  <c r="AF74" i="23"/>
  <c r="AF45" i="23"/>
  <c r="AI45" i="23" s="1"/>
  <c r="AC46" i="20" s="1"/>
  <c r="AA46" i="20" s="1"/>
  <c r="AF38" i="23"/>
  <c r="AI38" i="23" s="1"/>
  <c r="AC39" i="20" s="1"/>
  <c r="AA39" i="20" s="1"/>
  <c r="AF65" i="23"/>
  <c r="AI65" i="23" s="1"/>
  <c r="AC66" i="20" s="1"/>
  <c r="AA66" i="20" s="1"/>
  <c r="AF35" i="23"/>
  <c r="AI35" i="23" s="1"/>
  <c r="AC36" i="20" s="1"/>
  <c r="AA36" i="20" s="1"/>
  <c r="Z38" i="23"/>
  <c r="U39" i="20" s="1"/>
  <c r="S39" i="20" s="1"/>
  <c r="AF71" i="23"/>
  <c r="AF36" i="23"/>
  <c r="AI36" i="23" s="1"/>
  <c r="AC37" i="20" s="1"/>
  <c r="AA37" i="20" s="1"/>
  <c r="AF17" i="23"/>
  <c r="AI17" i="23" s="1"/>
  <c r="AC18" i="20" s="1"/>
  <c r="AA18" i="20" s="1"/>
  <c r="AF51" i="23"/>
  <c r="AI51" i="23" s="1"/>
  <c r="AC52" i="20" s="1"/>
  <c r="AA52" i="20" s="1"/>
  <c r="Z73" i="23"/>
  <c r="U74" i="20" s="1"/>
  <c r="S74" i="20" s="1"/>
  <c r="AF81" i="23"/>
  <c r="AI81" i="23" s="1"/>
  <c r="AC82" i="20" s="1"/>
  <c r="AA82" i="20" s="1"/>
  <c r="AF62" i="23"/>
  <c r="AI62" i="23" s="1"/>
  <c r="AC63" i="20" s="1"/>
  <c r="AA63" i="20" s="1"/>
  <c r="Q14" i="23"/>
  <c r="M15" i="20" s="1"/>
  <c r="K15" i="20" s="1"/>
  <c r="H29" i="23"/>
  <c r="E30" i="20" s="1"/>
  <c r="C30" i="20" s="1"/>
  <c r="AV62" i="9"/>
  <c r="D53" i="17"/>
  <c r="AI64" i="23"/>
  <c r="AC65" i="20" s="1"/>
  <c r="AA65" i="20" s="1"/>
  <c r="AI75" i="23"/>
  <c r="AC76" i="20" s="1"/>
  <c r="AA76" i="20" s="1"/>
  <c r="M13" i="14"/>
  <c r="AI48" i="23"/>
  <c r="AC49" i="20" s="1"/>
  <c r="AA49" i="20" s="1"/>
  <c r="AI28" i="23"/>
  <c r="AC29" i="20" s="1"/>
  <c r="AA29" i="20" s="1"/>
  <c r="AI82" i="23"/>
  <c r="AC83" i="20" s="1"/>
  <c r="AA83" i="20" s="1"/>
  <c r="AI22" i="23"/>
  <c r="AC23" i="20" s="1"/>
  <c r="AA23" i="20" s="1"/>
  <c r="AI60" i="23"/>
  <c r="AC61" i="20" s="1"/>
  <c r="AA61" i="20" s="1"/>
  <c r="AI56" i="23"/>
  <c r="AC57" i="20" s="1"/>
  <c r="AA57" i="20" s="1"/>
  <c r="AI46" i="23"/>
  <c r="AC47" i="20" s="1"/>
  <c r="AA47" i="20" s="1"/>
  <c r="AI58" i="23"/>
  <c r="AC59" i="20" s="1"/>
  <c r="AA59" i="20" s="1"/>
  <c r="AI29" i="23"/>
  <c r="AC30" i="20" s="1"/>
  <c r="AA30" i="20" s="1"/>
  <c r="AI43" i="23"/>
  <c r="AC44" i="20" s="1"/>
  <c r="AA44" i="20" s="1"/>
  <c r="AI21" i="23"/>
  <c r="AC22" i="20" s="1"/>
  <c r="AA22" i="20" s="1"/>
  <c r="AI25" i="23"/>
  <c r="AC26" i="20" s="1"/>
  <c r="AA26" i="20" s="1"/>
  <c r="AI37" i="23"/>
  <c r="AC38" i="20" s="1"/>
  <c r="AA38" i="20" s="1"/>
  <c r="AI40" i="23"/>
  <c r="AC41" i="20" s="1"/>
  <c r="AA41" i="20" s="1"/>
  <c r="AI73" i="23"/>
  <c r="AC74" i="20" s="1"/>
  <c r="AA74" i="20" s="1"/>
  <c r="AI54" i="23"/>
  <c r="AC55" i="20" s="1"/>
  <c r="AA55" i="20" s="1"/>
  <c r="AI10" i="23"/>
  <c r="AC11" i="20" s="1"/>
  <c r="AA11" i="20" s="1"/>
  <c r="AI77" i="23"/>
  <c r="AC78" i="20" s="1"/>
  <c r="AA78" i="20" s="1"/>
  <c r="AI78" i="23"/>
  <c r="AC79" i="20" s="1"/>
  <c r="AA79" i="20" s="1"/>
  <c r="AI27" i="23"/>
  <c r="AC28" i="20" s="1"/>
  <c r="AA28" i="20" s="1"/>
  <c r="AI55" i="23"/>
  <c r="AC56" i="20" s="1"/>
  <c r="AA56" i="20" s="1"/>
  <c r="AI57" i="23"/>
  <c r="AC58" i="20" s="1"/>
  <c r="AA58" i="20" s="1"/>
  <c r="AI34" i="23"/>
  <c r="AC35" i="20" s="1"/>
  <c r="AA35" i="20" s="1"/>
  <c r="AI39" i="23"/>
  <c r="AC40" i="20" s="1"/>
  <c r="AA40" i="20" s="1"/>
  <c r="AI32" i="23"/>
  <c r="AC33" i="20" s="1"/>
  <c r="AA33" i="20" s="1"/>
  <c r="AI9" i="23"/>
  <c r="AC10" i="20" s="1"/>
  <c r="AA10" i="20" s="1"/>
  <c r="AI15" i="23"/>
  <c r="AC16" i="20" s="1"/>
  <c r="AA16" i="20" s="1"/>
  <c r="AI79" i="23"/>
  <c r="AC80" i="20" s="1"/>
  <c r="AA80" i="20" s="1"/>
  <c r="AI59" i="23"/>
  <c r="AC60" i="20" s="1"/>
  <c r="AA60" i="20" s="1"/>
  <c r="AI49" i="23"/>
  <c r="AC50" i="20" s="1"/>
  <c r="AA50" i="20" s="1"/>
  <c r="AI61" i="23"/>
  <c r="AC62" i="20" s="1"/>
  <c r="AA62" i="20" s="1"/>
  <c r="AI70" i="23"/>
  <c r="AC71" i="20" s="1"/>
  <c r="AA71" i="20" s="1"/>
  <c r="AI50" i="23"/>
  <c r="AC51" i="20" s="1"/>
  <c r="AA51" i="20" s="1"/>
  <c r="AI12" i="23"/>
  <c r="AC13" i="20" s="1"/>
  <c r="AA13" i="20" s="1"/>
  <c r="AI71" i="23"/>
  <c r="AC72" i="20" s="1"/>
  <c r="AA72" i="20" s="1"/>
  <c r="AI44" i="23"/>
  <c r="AC45" i="20" s="1"/>
  <c r="AA45" i="20" s="1"/>
  <c r="AI13" i="23"/>
  <c r="AC14" i="20" s="1"/>
  <c r="AA14" i="20" s="1"/>
  <c r="AI14" i="23"/>
  <c r="AC15" i="20" s="1"/>
  <c r="AA15" i="20" s="1"/>
  <c r="AI24" i="23"/>
  <c r="AC25" i="20" s="1"/>
  <c r="AA25" i="20" s="1"/>
  <c r="AI69" i="23"/>
  <c r="AC70" i="20" s="1"/>
  <c r="AA70" i="20" s="1"/>
  <c r="AI26" i="23"/>
  <c r="AC27" i="20" s="1"/>
  <c r="AA27" i="20" s="1"/>
  <c r="AI72" i="23"/>
  <c r="AC73" i="20" s="1"/>
  <c r="AA73" i="20" s="1"/>
  <c r="AI16" i="23"/>
  <c r="AC17" i="20" s="1"/>
  <c r="AA17" i="20" s="1"/>
  <c r="AI41" i="23"/>
  <c r="AC42" i="20" s="1"/>
  <c r="AA42" i="20" s="1"/>
  <c r="AI18" i="23"/>
  <c r="AC19" i="20" s="1"/>
  <c r="AA19" i="20" s="1"/>
  <c r="AI33" i="23"/>
  <c r="AC34" i="20" s="1"/>
  <c r="AA34" i="20" s="1"/>
  <c r="AI20" i="23"/>
  <c r="AC21" i="20" s="1"/>
  <c r="AA21" i="20" s="1"/>
  <c r="AI47" i="23"/>
  <c r="AC48" i="20" s="1"/>
  <c r="AA48" i="20" s="1"/>
  <c r="AI42" i="23"/>
  <c r="AC43" i="20" s="1"/>
  <c r="AA43" i="20" s="1"/>
  <c r="AI74" i="23"/>
  <c r="AC75" i="20" s="1"/>
  <c r="AA75" i="20" s="1"/>
  <c r="AI31" i="23"/>
  <c r="AC32" i="20" s="1"/>
  <c r="AA32" i="20" s="1"/>
  <c r="AI11" i="23"/>
  <c r="AC12" i="20" s="1"/>
  <c r="AA12" i="20" s="1"/>
  <c r="AI19" i="23"/>
  <c r="AC20" i="20" s="1"/>
  <c r="AA20" i="20" s="1"/>
  <c r="AD83" i="23"/>
  <c r="W15" i="24" s="1"/>
  <c r="V8" i="23"/>
  <c r="D8" i="23"/>
  <c r="M8" i="23"/>
  <c r="BL64" i="9"/>
  <c r="BL72" i="10"/>
  <c r="C72" i="10" s="1"/>
  <c r="C73" i="15" s="1"/>
  <c r="D66" i="15"/>
  <c r="AV64" i="9" l="1"/>
  <c r="C64" i="9" s="1"/>
  <c r="C65" i="17" s="1"/>
  <c r="D63" i="17"/>
  <c r="C62" i="9"/>
  <c r="C63" i="17" s="1"/>
  <c r="E68" i="19"/>
  <c r="H8" i="19"/>
  <c r="G2" i="26" s="1"/>
  <c r="D2" i="26"/>
  <c r="AE8" i="23"/>
  <c r="N8" i="23"/>
  <c r="W8" i="23"/>
  <c r="E8" i="23"/>
  <c r="BL74" i="10"/>
  <c r="C74" i="10" s="1"/>
  <c r="C75" i="15" s="1"/>
  <c r="D73" i="15"/>
  <c r="E52" i="19" l="1"/>
  <c r="E83" i="19" s="1"/>
  <c r="D65" i="17"/>
  <c r="D62" i="26"/>
  <c r="H8" i="23"/>
  <c r="Z8" i="23"/>
  <c r="Q8" i="23"/>
  <c r="D68" i="19"/>
  <c r="C62" i="26" s="1"/>
  <c r="C77" i="26" s="1"/>
  <c r="D75" i="15"/>
  <c r="AF8" i="23"/>
  <c r="E68" i="23"/>
  <c r="N68" i="23"/>
  <c r="W68" i="23"/>
  <c r="E15" i="14"/>
  <c r="N52" i="23" l="1"/>
  <c r="Q52" i="23" s="1"/>
  <c r="M53" i="20" s="1"/>
  <c r="K53" i="20" s="1"/>
  <c r="W52" i="23"/>
  <c r="Z52" i="23" s="1"/>
  <c r="U53" i="20" s="1"/>
  <c r="S53" i="20" s="1"/>
  <c r="H52" i="19"/>
  <c r="G46" i="26" s="1"/>
  <c r="E52" i="23"/>
  <c r="H52" i="23" s="1"/>
  <c r="E53" i="20" s="1"/>
  <c r="C53" i="20" s="1"/>
  <c r="D46" i="26"/>
  <c r="D77" i="26" s="1"/>
  <c r="K15" i="14"/>
  <c r="I15" i="14"/>
  <c r="G15" i="14"/>
  <c r="AI8" i="23"/>
  <c r="H68" i="19"/>
  <c r="G62" i="26" s="1"/>
  <c r="D83" i="19"/>
  <c r="M9" i="20"/>
  <c r="K9" i="20" s="1"/>
  <c r="U9" i="20"/>
  <c r="S9" i="20" s="1"/>
  <c r="E9" i="20"/>
  <c r="C9" i="20" s="1"/>
  <c r="AF68" i="23"/>
  <c r="M68" i="23"/>
  <c r="M83" i="23" s="1"/>
  <c r="K18" i="24" s="1"/>
  <c r="D68" i="23"/>
  <c r="V68" i="23"/>
  <c r="V83" i="23" s="1"/>
  <c r="Q18" i="24" s="1"/>
  <c r="E14" i="14"/>
  <c r="G77" i="26" l="1"/>
  <c r="N83" i="23"/>
  <c r="K21" i="24" s="1"/>
  <c r="E83" i="23"/>
  <c r="E21" i="24" s="1"/>
  <c r="AF52" i="23"/>
  <c r="AI52" i="23" s="1"/>
  <c r="AC53" i="20" s="1"/>
  <c r="AA53" i="20" s="1"/>
  <c r="W83" i="23"/>
  <c r="Q21" i="24" s="1"/>
  <c r="K14" i="14"/>
  <c r="K18" i="14" s="1"/>
  <c r="I14" i="14"/>
  <c r="I18" i="14" s="1"/>
  <c r="M15" i="14"/>
  <c r="G14" i="14"/>
  <c r="G18" i="14" s="1"/>
  <c r="E18" i="14"/>
  <c r="H83" i="19"/>
  <c r="H68" i="23"/>
  <c r="D83" i="23"/>
  <c r="E18" i="24" s="1"/>
  <c r="Q68" i="23"/>
  <c r="Z68" i="23"/>
  <c r="AC9" i="20"/>
  <c r="AA9" i="20" s="1"/>
  <c r="AE68" i="23"/>
  <c r="AE83" i="23" s="1"/>
  <c r="W18" i="24" s="1"/>
  <c r="AF83" i="23" l="1"/>
  <c r="W21" i="24" s="1"/>
  <c r="M14" i="14"/>
  <c r="M18" i="14" s="1"/>
  <c r="M69" i="20"/>
  <c r="K69" i="20" s="1"/>
  <c r="Q83" i="23"/>
  <c r="K30" i="24" s="1"/>
  <c r="U69" i="20"/>
  <c r="S69" i="20" s="1"/>
  <c r="Z83" i="23"/>
  <c r="Q30" i="24" s="1"/>
  <c r="E69" i="20"/>
  <c r="C69" i="20" s="1"/>
  <c r="H83" i="23"/>
  <c r="E30" i="24" s="1"/>
  <c r="AI68" i="23"/>
  <c r="E84" i="20" l="1"/>
  <c r="U84" i="20"/>
  <c r="AC69" i="20"/>
  <c r="AA69" i="20" s="1"/>
  <c r="AI83" i="23"/>
  <c r="W30" i="24" s="1"/>
  <c r="M84" i="20"/>
  <c r="AC84" i="20" l="1"/>
</calcChain>
</file>

<file path=xl/comments1.xml><?xml version="1.0" encoding="utf-8"?>
<comments xmlns="http://schemas.openxmlformats.org/spreadsheetml/2006/main">
  <authors>
    <author>Gemperle, Mario</author>
  </authors>
  <commentList>
    <comment ref="C13" authorId="0" shapeId="0">
      <text>
        <r>
          <rPr>
            <b/>
            <sz val="9"/>
            <color indexed="81"/>
            <rFont val="Segoe UI"/>
            <family val="2"/>
          </rPr>
          <t>Gemperle, Mario:</t>
        </r>
        <r>
          <rPr>
            <sz val="9"/>
            <color indexed="81"/>
            <rFont val="Segoe UI"/>
            <family val="2"/>
          </rPr>
          <t xml:space="preserve">
Durchschnittlicher Steuerfuss aller Gemeinden
Berechnung (Effektiver Nettoertrag aller Gemeinden / Einfache Steuer aller Gemeinden) - siehe auch Art. 6 Abs. 1 VV FAG</t>
        </r>
      </text>
    </comment>
    <comment ref="BH13" authorId="0" shapeId="0">
      <text>
        <r>
          <rPr>
            <b/>
            <sz val="9"/>
            <color indexed="81"/>
            <rFont val="Segoe UI"/>
            <family val="2"/>
          </rPr>
          <t>Gemperle, Mario:</t>
        </r>
        <r>
          <rPr>
            <sz val="9"/>
            <color indexed="81"/>
            <rFont val="Segoe UI"/>
            <family val="2"/>
          </rPr>
          <t xml:space="preserve">
durchschnittlicher Steuerfuss der Gemeinden Oberhelfenschwil, Neckertal und Hemberg
Effektiver Nettoertrag / Einfache Steuer Netto</t>
        </r>
      </text>
    </comment>
    <comment ref="C35" authorId="0" shapeId="0">
      <text>
        <r>
          <rPr>
            <b/>
            <sz val="9"/>
            <color indexed="81"/>
            <rFont val="Segoe UI"/>
            <family val="2"/>
          </rPr>
          <t>Gemperle, Mario:</t>
        </r>
        <r>
          <rPr>
            <sz val="9"/>
            <color indexed="81"/>
            <rFont val="Segoe UI"/>
            <family val="2"/>
          </rPr>
          <t xml:space="preserve">
durchschnittlicher Steuersatz aller Gemeinden</t>
        </r>
      </text>
    </comment>
    <comment ref="BH64" authorId="0" shapeId="0">
      <text>
        <r>
          <rPr>
            <b/>
            <sz val="9"/>
            <color indexed="81"/>
            <rFont val="Segoe UI"/>
            <family val="2"/>
          </rPr>
          <t>Gemperle, Mario:</t>
        </r>
        <r>
          <rPr>
            <sz val="9"/>
            <color indexed="81"/>
            <rFont val="Segoe UI"/>
            <family val="2"/>
          </rPr>
          <t xml:space="preserve">
durchschnittlicher Steuerfuss der Gemeinden Oberhelfenschwil, Neckertal und Hemberg
Effektiver Nettoertrag / Einfache Steuer Netto</t>
        </r>
      </text>
    </comment>
  </commentList>
</comments>
</file>

<file path=xl/comments2.xml><?xml version="1.0" encoding="utf-8"?>
<comments xmlns="http://schemas.openxmlformats.org/spreadsheetml/2006/main">
  <authors>
    <author>Gemperle, Mario</author>
  </authors>
  <commentList>
    <comment ref="B60" authorId="0" shapeId="0">
      <text>
        <r>
          <rPr>
            <b/>
            <sz val="9"/>
            <color indexed="81"/>
            <rFont val="Segoe UI"/>
            <family val="2"/>
          </rPr>
          <t>Gemperle, Mario:</t>
        </r>
        <r>
          <rPr>
            <sz val="9"/>
            <color indexed="81"/>
            <rFont val="Segoe UI"/>
            <family val="2"/>
          </rPr>
          <t xml:space="preserve">
Massgebend ist der Mittelwert analog Ressourcenausgleich! Gemäss Rücksprache mit Bruno Schaible vom 6. August 2020</t>
        </r>
      </text>
    </comment>
  </commentList>
</comments>
</file>

<file path=xl/comments3.xml><?xml version="1.0" encoding="utf-8"?>
<comments xmlns="http://schemas.openxmlformats.org/spreadsheetml/2006/main">
  <authors>
    <author>Gemperle, Mario</author>
  </authors>
  <commentList>
    <comment ref="BH32" authorId="0" shapeId="0">
      <text>
        <r>
          <rPr>
            <b/>
            <sz val="9"/>
            <color indexed="81"/>
            <rFont val="Segoe UI"/>
            <family val="2"/>
          </rPr>
          <t>Gemperle, Mario:</t>
        </r>
        <r>
          <rPr>
            <sz val="9"/>
            <color indexed="81"/>
            <rFont val="Segoe UI"/>
            <family val="2"/>
          </rPr>
          <t xml:space="preserve">
gewichtet nach Einwohner! Gemäss Rückmeldung Fachstelle für Statistik!</t>
        </r>
      </text>
    </comment>
    <comment ref="B47" authorId="0" shapeId="0">
      <text>
        <r>
          <rPr>
            <b/>
            <sz val="9"/>
            <color indexed="81"/>
            <rFont val="Segoe UI"/>
            <family val="2"/>
          </rPr>
          <t>Gemperle, Mario:</t>
        </r>
        <r>
          <rPr>
            <sz val="9"/>
            <color indexed="81"/>
            <rFont val="Segoe UI"/>
            <family val="2"/>
          </rPr>
          <t xml:space="preserve">
Massgebend ist der Mittelwert analog Ressourcenausgleich! Gemäss Rücksprache mit Bruno Schaible vom 6. August 2020</t>
        </r>
      </text>
    </comment>
  </commentList>
</comments>
</file>

<file path=xl/comments4.xml><?xml version="1.0" encoding="utf-8"?>
<comments xmlns="http://schemas.openxmlformats.org/spreadsheetml/2006/main">
  <authors>
    <author>Gemperle, Mario</author>
  </authors>
  <commentList>
    <comment ref="B21" authorId="0" shapeId="0">
      <text>
        <r>
          <rPr>
            <b/>
            <sz val="9"/>
            <color indexed="81"/>
            <rFont val="Segoe UI"/>
            <family val="2"/>
          </rPr>
          <t>Gemperle, Mario:</t>
        </r>
        <r>
          <rPr>
            <sz val="9"/>
            <color indexed="81"/>
            <rFont val="Segoe UI"/>
            <family val="2"/>
          </rPr>
          <t xml:space="preserve">
HRM1: Funktion 54 und 5303</t>
        </r>
      </text>
    </comment>
    <comment ref="B32" authorId="0" shapeId="0">
      <text>
        <r>
          <rPr>
            <b/>
            <sz val="9"/>
            <color indexed="81"/>
            <rFont val="Segoe UI"/>
            <family val="2"/>
          </rPr>
          <t>Gemperle, Mario:</t>
        </r>
        <r>
          <rPr>
            <sz val="9"/>
            <color indexed="81"/>
            <rFont val="Segoe UI"/>
            <family val="2"/>
          </rPr>
          <t xml:space="preserve">
HRM1: Funktion 58</t>
        </r>
      </text>
    </comment>
    <comment ref="AH43" authorId="0" shapeId="0">
      <text>
        <r>
          <rPr>
            <b/>
            <sz val="9"/>
            <color indexed="81"/>
            <rFont val="Segoe UI"/>
            <family val="2"/>
          </rPr>
          <t>Gemperle, Mario:</t>
        </r>
        <r>
          <rPr>
            <sz val="9"/>
            <color indexed="81"/>
            <rFont val="Segoe UI"/>
            <family val="2"/>
          </rPr>
          <t xml:space="preserve">
Telefonische Rückmeldung AfSO (Ingo Kratisch) vom 4. August 2022.</t>
        </r>
      </text>
    </comment>
  </commentList>
</comments>
</file>

<file path=xl/sharedStrings.xml><?xml version="1.0" encoding="utf-8"?>
<sst xmlns="http://schemas.openxmlformats.org/spreadsheetml/2006/main" count="2287" uniqueCount="393">
  <si>
    <t>Quellensteuer</t>
  </si>
  <si>
    <t>Gewinn- und Kapitalsteuer</t>
  </si>
  <si>
    <t>Handänderungssteuer</t>
  </si>
  <si>
    <t>Grundstückgewinnsteuer</t>
  </si>
  <si>
    <t>Einkommens-/Vermögenssteuer</t>
  </si>
  <si>
    <t>St.Gallen</t>
  </si>
  <si>
    <t>Wittenbach</t>
  </si>
  <si>
    <t>Häggenschwil</t>
  </si>
  <si>
    <t>Muolen</t>
  </si>
  <si>
    <t>Mörschwil</t>
  </si>
  <si>
    <t>Goldach</t>
  </si>
  <si>
    <t>Steinach</t>
  </si>
  <si>
    <t>Berg</t>
  </si>
  <si>
    <t>Tübach</t>
  </si>
  <si>
    <t>Untereggen</t>
  </si>
  <si>
    <t>Eggersriet</t>
  </si>
  <si>
    <t>Rorschacherberg</t>
  </si>
  <si>
    <t>Rorschach</t>
  </si>
  <si>
    <t>Thal</t>
  </si>
  <si>
    <t>Rheineck</t>
  </si>
  <si>
    <t>St.Margrethen</t>
  </si>
  <si>
    <t>Au</t>
  </si>
  <si>
    <t>Berneck</t>
  </si>
  <si>
    <t>Balgach</t>
  </si>
  <si>
    <t>Diepoldsau</t>
  </si>
  <si>
    <t>Widnau</t>
  </si>
  <si>
    <t>Rebstein</t>
  </si>
  <si>
    <t>Marbach</t>
  </si>
  <si>
    <t>Altstätten</t>
  </si>
  <si>
    <t>Eichberg</t>
  </si>
  <si>
    <t>Oberriet</t>
  </si>
  <si>
    <t>Rüthi</t>
  </si>
  <si>
    <t>Sennwald</t>
  </si>
  <si>
    <t>Gams</t>
  </si>
  <si>
    <t>Grabs</t>
  </si>
  <si>
    <t>Buchs</t>
  </si>
  <si>
    <t>Sevelen</t>
  </si>
  <si>
    <t>Wartau</t>
  </si>
  <si>
    <t>Sargans</t>
  </si>
  <si>
    <t>Vilters-Wangs</t>
  </si>
  <si>
    <t>Bad Ragaz</t>
  </si>
  <si>
    <t>Pfäfers</t>
  </si>
  <si>
    <t>Mels</t>
  </si>
  <si>
    <t>Flums</t>
  </si>
  <si>
    <t>Walenstadt</t>
  </si>
  <si>
    <t>Quarten</t>
  </si>
  <si>
    <t>Amden</t>
  </si>
  <si>
    <t>Weesen</t>
  </si>
  <si>
    <t>Schänis</t>
  </si>
  <si>
    <t>Benken</t>
  </si>
  <si>
    <t>Kaltbrunn</t>
  </si>
  <si>
    <t>Gommiswald</t>
  </si>
  <si>
    <t>Uznach</t>
  </si>
  <si>
    <t>Schmerikon</t>
  </si>
  <si>
    <t>Rapperswil-Jona</t>
  </si>
  <si>
    <t>Eschenbach</t>
  </si>
  <si>
    <t>Wildhaus-Alt St.Johann</t>
  </si>
  <si>
    <t>Nesslau</t>
  </si>
  <si>
    <t>Ebnat-Kappel</t>
  </si>
  <si>
    <t>Wattwil</t>
  </si>
  <si>
    <t>Lichtensteig</t>
  </si>
  <si>
    <t>Bütschwil-Ganterschwil</t>
  </si>
  <si>
    <t>Lütisburg</t>
  </si>
  <si>
    <t>Mosnang</t>
  </si>
  <si>
    <t>Kirchberg</t>
  </si>
  <si>
    <t>Jonschwil</t>
  </si>
  <si>
    <t>Oberuzwil</t>
  </si>
  <si>
    <t>Uzwil</t>
  </si>
  <si>
    <t>Flawil</t>
  </si>
  <si>
    <t>Degersheim</t>
  </si>
  <si>
    <t>Wil</t>
  </si>
  <si>
    <t>Zuzwil</t>
  </si>
  <si>
    <t>Oberbüren</t>
  </si>
  <si>
    <t>Niederbüren</t>
  </si>
  <si>
    <t>Niederhelfenschwil</t>
  </si>
  <si>
    <t>Gossau</t>
  </si>
  <si>
    <t>Andwil</t>
  </si>
  <si>
    <t>Waldkirch</t>
  </si>
  <si>
    <t>Gaiserwald</t>
  </si>
  <si>
    <t>Total</t>
  </si>
  <si>
    <t>Einwohnerzahl per 31.12.</t>
  </si>
  <si>
    <t>Bruttoertrag</t>
  </si>
  <si>
    <t>Erlasse/Verluste</t>
  </si>
  <si>
    <t>Nettoertrag</t>
  </si>
  <si>
    <t>Grundsteuer (ord. Satz)</t>
  </si>
  <si>
    <t>Grundsteuer (Spezialsatz)</t>
  </si>
  <si>
    <t>Abschreibungen</t>
  </si>
  <si>
    <t>pauschale Steueranrechnung</t>
  </si>
  <si>
    <t>Steuerfuss</t>
  </si>
  <si>
    <t>Standardisierter Ertrag</t>
  </si>
  <si>
    <t>Nettoertrag (standardisierter Ertrag)</t>
  </si>
  <si>
    <t>Steuersatz in ‰</t>
  </si>
  <si>
    <t>Ertrag bei Satz von 1‰</t>
  </si>
  <si>
    <t>Berechnung der technischen Steuerkraft</t>
  </si>
  <si>
    <t>Einfache Steuer Brutto</t>
  </si>
  <si>
    <t>Einfache Steuer Netto</t>
  </si>
  <si>
    <t>Effektiver Nettoertrag</t>
  </si>
  <si>
    <t>1.)</t>
  </si>
  <si>
    <t>2.)</t>
  </si>
  <si>
    <t>3.)</t>
  </si>
  <si>
    <t>Berechnung Ressourcenausgleichsbeitrag</t>
  </si>
  <si>
    <t>4.)</t>
  </si>
  <si>
    <t>Ausgleichsfaktor</t>
  </si>
  <si>
    <t>Ressourcenausgleichsbeitrag</t>
  </si>
  <si>
    <t>Technische Steuerkraft pro Einwohner</t>
  </si>
  <si>
    <t>Eingabefelder</t>
  </si>
  <si>
    <t>Quelle</t>
  </si>
  <si>
    <t>KStA</t>
  </si>
  <si>
    <t>Gemeinden</t>
  </si>
  <si>
    <t>KStA/Gemeinden</t>
  </si>
  <si>
    <t>Bundesamt für Statistik</t>
  </si>
  <si>
    <t>Beschluss Kantonsrat</t>
  </si>
  <si>
    <t>Berechnung SL Stadt St.Gallen</t>
  </si>
  <si>
    <t>Ausgleichsbeitrag gemäss Art. 25 Abs. 1 FAG</t>
  </si>
  <si>
    <t>zusätzlicher Ausgleichsbeitrag gemäss Art. 25 Abs. 2 FAG</t>
  </si>
  <si>
    <t>(Dezember 2005 = 100)</t>
  </si>
  <si>
    <t>Indexstand Juni 2007 (Basis)</t>
  </si>
  <si>
    <t>Allgemeine Daten</t>
  </si>
  <si>
    <t>BLD-Sozialindex per 31.12.</t>
  </si>
  <si>
    <t>GFS</t>
  </si>
  <si>
    <t>BLD</t>
  </si>
  <si>
    <t>Fachstelle für Statistik</t>
  </si>
  <si>
    <t>Berechnung Sonderlastenausgleich Schule</t>
  </si>
  <si>
    <t>Sonderlasten Sonderschule</t>
  </si>
  <si>
    <t>Sonderschüler je Einwohner</t>
  </si>
  <si>
    <t>Pauschalbeitrag je Schüler in der Sonderschule</t>
  </si>
  <si>
    <t>Beitragssatz Sonderschule</t>
  </si>
  <si>
    <t>Sonder-/Minderlasten Volksschule</t>
  </si>
  <si>
    <t>2.1)</t>
  </si>
  <si>
    <t>2.2)</t>
  </si>
  <si>
    <t>Beitragssatz Volksschule bei überdurchschnittlicher Belastung</t>
  </si>
  <si>
    <t>Beitragssatz Volksschule bei unterdurchschnittlicher Belastung</t>
  </si>
  <si>
    <t>Volksschüler je Einwohner</t>
  </si>
  <si>
    <t>reduzierter BLD-Sozialindex per 31.12.</t>
  </si>
  <si>
    <t>Kantonaler Durchschnitt Kosten je Schüler</t>
  </si>
  <si>
    <t>Sonder-/Minderlasten Volksschule (vor allfälliger Kürzung)</t>
  </si>
  <si>
    <t>Sonderlasten Sonderschule (vor allfälliger Kürzung)</t>
  </si>
  <si>
    <t>2.3)</t>
  </si>
  <si>
    <t>Sonderlastenausgleich Schule (vor allfälliger Kürzung)</t>
  </si>
  <si>
    <t>Kürzung infolge hoher technischer Steuerkraft</t>
  </si>
  <si>
    <t>in %</t>
  </si>
  <si>
    <t>Technische Steuerkraft in % zum kantonalen Durchschnitt</t>
  </si>
  <si>
    <t>Kürzungsfaktor in %</t>
  </si>
  <si>
    <t>2.4)</t>
  </si>
  <si>
    <t>Zusammenfassung</t>
  </si>
  <si>
    <t>Beitrag Sonderlastenausgleich Schule</t>
  </si>
  <si>
    <t>Kürzung in Fr.</t>
  </si>
  <si>
    <t>1.1)</t>
  </si>
  <si>
    <t>1.2)</t>
  </si>
  <si>
    <t>1.3)</t>
  </si>
  <si>
    <t>1.4)</t>
  </si>
  <si>
    <t>1.5)</t>
  </si>
  <si>
    <t>1.6)</t>
  </si>
  <si>
    <t>1.7)</t>
  </si>
  <si>
    <t>2.5)</t>
  </si>
  <si>
    <t>2.6)</t>
  </si>
  <si>
    <t>2.7)</t>
  </si>
  <si>
    <t>3.1)</t>
  </si>
  <si>
    <t>3.2)</t>
  </si>
  <si>
    <t>3.3)</t>
  </si>
  <si>
    <t>gewichtete Strassenlänge in km per 31.12.</t>
  </si>
  <si>
    <t>Streuung des Siedlungsgebiets</t>
  </si>
  <si>
    <t>Berechnung Sonderlastenausgleich Weite</t>
  </si>
  <si>
    <t>Länge des Strassennetzes</t>
  </si>
  <si>
    <t>Wohnbevölkerung mit Wohnsitz über 800 Metern über Meer</t>
  </si>
  <si>
    <t>geringe Einwohnerdichte</t>
  </si>
  <si>
    <t xml:space="preserve">gewichtete Strassenlänge in km pro Einwohner </t>
  </si>
  <si>
    <t>Anteil an Gesamtbevölkerung</t>
  </si>
  <si>
    <t>Gemeindefläche je Einwohner</t>
  </si>
  <si>
    <t>Pauschalbeitrag je gewichtetem Kilometer</t>
  </si>
  <si>
    <t>Beitrag je Einwohner</t>
  </si>
  <si>
    <t>Sonderlast total</t>
  </si>
  <si>
    <t>Pauschalbeitrag je Einwohner</t>
  </si>
  <si>
    <t>Pauschalbeitrag je ha je Einwohner</t>
  </si>
  <si>
    <t>Sonderlastenausgleich Weite (vor allfälliger Kürzung)</t>
  </si>
  <si>
    <t>Korrekturwert</t>
  </si>
  <si>
    <t>Korrekturwert je Einwohner für mittlere Belastung</t>
  </si>
  <si>
    <t>Minderlast total</t>
  </si>
  <si>
    <t>Beitrag Sonderlastenausgleich Weite</t>
  </si>
  <si>
    <t>BD</t>
  </si>
  <si>
    <t>FAG</t>
  </si>
  <si>
    <t>Berechnung Soziodemographischer Sonderlastenausgleich</t>
  </si>
  <si>
    <t>Sonderlasten Familie und Jugend</t>
  </si>
  <si>
    <t>Sonder-/Minderlasten Sozialhilfe</t>
  </si>
  <si>
    <t>Sonder-/Minderlasten Stationäre Pflege</t>
  </si>
  <si>
    <t>Beitragssatz bei überdurchschnittlicher Belastung</t>
  </si>
  <si>
    <t>Beitragssatz bei unterdurchschnittlicher Belastung</t>
  </si>
  <si>
    <t>Nettoaufwand Familie und Jugend pro Einwohner</t>
  </si>
  <si>
    <t>Nettoaufwand Finanzielle Sozialhilfe pro Einwohner</t>
  </si>
  <si>
    <t>Nettoaufwand Stationäre Pflege</t>
  </si>
  <si>
    <t>Nettoaufwand Stationäre Pflege pro Einwohner</t>
  </si>
  <si>
    <t>Nettoaufwand Finanzielle Sozialhilfe (Funktion 572)</t>
  </si>
  <si>
    <t>Beitrag Soziodemographischer Sonderlastenausgleich</t>
  </si>
  <si>
    <t>Beitrag Sonderlastenausgleich Stadt St.Gallen</t>
  </si>
  <si>
    <t>Kanton St.Gallen</t>
  </si>
  <si>
    <t>Amt für Gemeinden und Bürgerrecht</t>
  </si>
  <si>
    <t>Politische Gemeinde:</t>
  </si>
  <si>
    <t>Ressourcenausgleich</t>
  </si>
  <si>
    <t>Sonderlastenausgleich Weite</t>
  </si>
  <si>
    <t>Sonderlastenausgleich Schule</t>
  </si>
  <si>
    <t>Soziodemographischer Sonderlastenausgleich</t>
  </si>
  <si>
    <t>Sonderlastenausgleich Stadt</t>
  </si>
  <si>
    <t>bitte Gemeinde auswählen</t>
  </si>
  <si>
    <t>für die Berechnung relevante Basisdaten</t>
  </si>
  <si>
    <t>Nettoaufwand Familie und Jugend (Funktion 54)</t>
  </si>
  <si>
    <t>Details</t>
  </si>
  <si>
    <t>Ressourcen-ausgleich</t>
  </si>
  <si>
    <t>Sonderlasten-ausgleich Weite</t>
  </si>
  <si>
    <t>Soziodemogra-phischer Sonder-lastenausgleich</t>
  </si>
  <si>
    <t>Sonderlasten-ausgleich Schule</t>
  </si>
  <si>
    <t>Sonderlasten-ausgleich Stadt St.Gallen</t>
  </si>
  <si>
    <t>Nr.</t>
  </si>
  <si>
    <t>Gemeinde</t>
  </si>
  <si>
    <t>Kreditor</t>
  </si>
  <si>
    <t>Btyp</t>
  </si>
  <si>
    <t>0003</t>
  </si>
  <si>
    <t>0001</t>
  </si>
  <si>
    <t>0005</t>
  </si>
  <si>
    <t>0002</t>
  </si>
  <si>
    <t>0004</t>
  </si>
  <si>
    <t>Kreditorenbeleg 1. Rate März</t>
  </si>
  <si>
    <t>Kontierung</t>
  </si>
  <si>
    <t>Kreditorenbeleg 2. Rate Juni</t>
  </si>
  <si>
    <t>Kreditorenbeleg 3. Rate September</t>
  </si>
  <si>
    <t>Kreditorenbeleg 4. Rate Dezember</t>
  </si>
  <si>
    <t>Kontierungsbeleg</t>
  </si>
  <si>
    <t>1. Auszahlung innerkantonaler Finanzausgleich gemäss Art. 47 Finanzausgleichsgesetz (sGS 813.1; abgekürzt FAG)</t>
  </si>
  <si>
    <t xml:space="preserve">Fr. </t>
  </si>
  <si>
    <t>2. Auszahlung innerkantonaler Finanzausgleich gemäss Art. 47 Finanzausgleichsgesetz (sGS 813.1; abgekürzt FAG)</t>
  </si>
  <si>
    <t>3. Auszahlung innerkantonaler Finanzausgleich gemäss Art. 47 Finanzausgleichsgesetz (sGS 813.1; abgekürzt FAG)</t>
  </si>
  <si>
    <t>4. Auszahlung innerkantonaler Finanzausgleich gemäss Art. 47 Finanzausgleichsgesetz (sGS 813.1; abgekürzt FAG)</t>
  </si>
  <si>
    <t>In den grünen Laschen werden die Berechnungen vorgenommen. Diese Laschen sind ausschliesslich für den internen Gebrauch!</t>
  </si>
  <si>
    <t>Die drei blauen Laschen werden für die Auszahlungen der Finanzausgleichsbeiträge benötigt!</t>
  </si>
  <si>
    <t>Die roten Laschen dienen als Informationszweck für die Gemeinden. Diese Informationen werden regelmässig auf der Homepage aufgeschaltet! Bei der Aufschaltungsdatei sind die nicht relevanten Laschen auszublenden!</t>
  </si>
  <si>
    <t>Soll
 3700001000.347200</t>
  </si>
  <si>
    <t>Soll
 3700001000.347211</t>
  </si>
  <si>
    <t>Soll
 3700001000.347212</t>
  </si>
  <si>
    <t>Soll
 3700001000.347214</t>
  </si>
  <si>
    <t>Soll
 3700001000.347213</t>
  </si>
  <si>
    <t>Steuerdaten 2020</t>
  </si>
  <si>
    <t>Technische Steuerkraft 2020</t>
  </si>
  <si>
    <t>Nettoaufwand Obligatorische Schule (Funktion 21)</t>
  </si>
  <si>
    <t>Nettoaufwand Schulrat in Einheitsgemeinden (Funktion 0121)</t>
  </si>
  <si>
    <t>Nettoaufwand Schulgesundheitsdienst in EHG (Funktion 433)</t>
  </si>
  <si>
    <t>Gemeindefläche in ha per 31.12.</t>
  </si>
  <si>
    <t>Streuung des Siedlungsgebiets per 31.12.</t>
  </si>
  <si>
    <t>Einwohner über 800m per 31.12.</t>
  </si>
  <si>
    <t>Zusammensetzung und Raten</t>
  </si>
  <si>
    <t>Ausgleichsgefäss</t>
  </si>
  <si>
    <t>1. Rate (15. März)</t>
  </si>
  <si>
    <t>2. Rate (15. Juni)</t>
  </si>
  <si>
    <t>3. Rate (15. Sept.)</t>
  </si>
  <si>
    <t>4. Rate (15. Dez.)</t>
  </si>
  <si>
    <t>Ressourcenausgleich (4. Rate; Art. 5 ff. FAG)
AFGB 3700001000.347200 an AFGB 200399 / 3P.FA</t>
  </si>
  <si>
    <t>Sonderlastenausgleich Weite (4. Rate; Art. 11 ff. FAG)
AFGB 3700001000.347211 an AFGB 200399 / 3P.FA</t>
  </si>
  <si>
    <t>Sonderlastenausgleich Schule (4. Rate; Art. 18 ff. FAG)
AFGB 3700001000.347212 an AFGB 200399 / 3P.FA</t>
  </si>
  <si>
    <t>Soziodemographischer Sonderlastenausgleich (4. Rate; Art. 17a ff. FAG)
AFGB 3700001000.347214 an AFGB 200399 / 3P.FA</t>
  </si>
  <si>
    <t>Sonderlastenausgleich Stadt (4. Rate; Art. 24 ff. FAG)
AFGB 3700001000.347213 an AFGB 200399 / 3P.FA</t>
  </si>
  <si>
    <t>Ressourcenausgleich (3. Rate; Art. 5 ff. FAG)
AFGB 3700001000.347200 an AFGB 200399 / 3P.FA</t>
  </si>
  <si>
    <t>Sonderlastenausgleich Weite (3. Rate; Art. 11 ff. FAG)
AFGB 3700001000.347211 an AFGB 200399 / 3P.FA</t>
  </si>
  <si>
    <t>Sonderlastenausgleich Schule (3. Rate; Art. 18 ff. FAG)
AFGB 3700001000.347212 an AFGB 200399 / 3P.FA</t>
  </si>
  <si>
    <t>Soziodemographischer Sonderlastenausgleich (3. Rate; Art. 17a ff. FAG)
AFGB 3700001000.347214 an AFGB 200399 / 3P.FA</t>
  </si>
  <si>
    <t>Sonderlastenausgleich Stadt (3. Rate; Art. 24 ff. FAG)
AFGB 3700001000.347213 an AFGB 200399 / 3P.FA</t>
  </si>
  <si>
    <t>Ressourcenausgleich (2. Rate; Art. 5 ff. FAG)
AFGB 3700001000.347200 an AFGB 200399 / 3P.FA</t>
  </si>
  <si>
    <t>Sonderlastenausgleich Weite (2. Rate; Art. 11 ff. FAG)
AFGB 3700001000.347211 an AFGB 200399 / 3P.FA</t>
  </si>
  <si>
    <t>Sonderlastenausgleich Schule (2. Rate; Art. 18 ff. FAG)
AFGB 3700001000.347212 an AFGB 200399 / 3P.FA</t>
  </si>
  <si>
    <t>Soziodemographischer Sonderlastenausgleich (2. Rate; Art. 17a ff. FAG)
AFGB 3700001000.347214 an AFGB 200399 / 3P.FA</t>
  </si>
  <si>
    <t>Sonderlastenausgleich Stadt (2. Rate; Art. 24 ff. FAG)
AFGB 3700001000.347213 an AFGB 200399 / 3P.FA</t>
  </si>
  <si>
    <t>Ressourcenausgleich (1. Rate; Art. 5 ff. FAG)
AFGB 3700001000.347200 an AFGB 200399 / 3P.FA</t>
  </si>
  <si>
    <t>Sonderlastenausgleich Weite (1. Rate; Art. 11 ff. FAG)
AFGB 3700001000.347211 an AFGB 200399 / 3P.FA</t>
  </si>
  <si>
    <t>Sonderlastenausgleich Schule (1. Rate; Art. 18 ff. FAG)
AFGB 3700001000.347212 an AFGB 200399 / 3P.FA</t>
  </si>
  <si>
    <t>Soziodemographischer Sonderlastenausgleich (1. Rate; Art. 17a ff. FAG)
AFGB 3700001000.347214 an AFGB 200399 / 3P.FA</t>
  </si>
  <si>
    <t>Sonderlastenausgleich Stadt (1. Rate; Art. 24 ff. FAG)
AFGB 3700001000.347213 an AFGB 200399 / 3P.FA</t>
  </si>
  <si>
    <t>Sonderlastenausgleich Stadt St.Gallen</t>
  </si>
  <si>
    <t>Rat</t>
  </si>
  <si>
    <t>Adresse</t>
  </si>
  <si>
    <t>PLZ</t>
  </si>
  <si>
    <t>Ort</t>
  </si>
  <si>
    <t>Stadt</t>
  </si>
  <si>
    <t>Rathaus</t>
  </si>
  <si>
    <t>Dottenwilerstrasse 2</t>
  </si>
  <si>
    <t>Dorfstrasse 18</t>
  </si>
  <si>
    <t>Dorfstrasse 9</t>
  </si>
  <si>
    <t>Schulstrasse 3</t>
  </si>
  <si>
    <t>Hauptstrasse 2</t>
  </si>
  <si>
    <t>Schulstrasse 5</t>
  </si>
  <si>
    <t>Dorfstrasse 17</t>
  </si>
  <si>
    <t>Kirchstrasse 18</t>
  </si>
  <si>
    <t>Mittlerhof 30</t>
  </si>
  <si>
    <t>Heidenerstrasse 5</t>
  </si>
  <si>
    <t>Goldacher Strasse 67</t>
  </si>
  <si>
    <t>Hauptstrasse 29</t>
  </si>
  <si>
    <t>Kirchplatz 4</t>
  </si>
  <si>
    <t>Hauptstrasse 21</t>
  </si>
  <si>
    <t>Hauptstrasse 117</t>
  </si>
  <si>
    <t>Kirchweg 6</t>
  </si>
  <si>
    <t>Rathausplatz 1</t>
  </si>
  <si>
    <t>Turnhallestrasse 1</t>
  </si>
  <si>
    <t>Gemeindeplatz 1</t>
  </si>
  <si>
    <t>Neugasse 4</t>
  </si>
  <si>
    <t>Alte Landstrasse 77</t>
  </si>
  <si>
    <t>Obergasse 4</t>
  </si>
  <si>
    <t>Rathausplatz 2</t>
  </si>
  <si>
    <t>Härdlistrasse 11</t>
  </si>
  <si>
    <t>Staatsstrasse 92</t>
  </si>
  <si>
    <t>Staatsstrasse 78</t>
  </si>
  <si>
    <t>Spengelgasse 10</t>
  </si>
  <si>
    <t>Frümsen</t>
  </si>
  <si>
    <t>Sporgasse 7</t>
  </si>
  <si>
    <t>St.Gallerstrasse 2</t>
  </si>
  <si>
    <t>Hauptstrasse 54</t>
  </si>
  <si>
    <t>Poststrasse 51</t>
  </si>
  <si>
    <t>Azmoos</t>
  </si>
  <si>
    <t>Städtchenstrasse 45</t>
  </si>
  <si>
    <t>Dorfstrasse 34</t>
  </si>
  <si>
    <t>Wangs</t>
  </si>
  <si>
    <t>Hintergasse 4</t>
  </si>
  <si>
    <t>Platz 2</t>
  </si>
  <si>
    <t>Marktstrasse 25</t>
  </si>
  <si>
    <t>Bahnhofstrasse 19</t>
  </si>
  <si>
    <t>Walenseestrasse 7</t>
  </si>
  <si>
    <t>Unterterzen</t>
  </si>
  <si>
    <t>Dorfstrasse 22</t>
  </si>
  <si>
    <t>Hauptstrasse 15</t>
  </si>
  <si>
    <t>Oberdorf 16</t>
  </si>
  <si>
    <t>Zentrumplatz 2</t>
  </si>
  <si>
    <t>Dorfstrasse 5/7</t>
  </si>
  <si>
    <t>Städtchen 10</t>
  </si>
  <si>
    <t>Hauptstrasse 16</t>
  </si>
  <si>
    <t>St.Gallerstrasse 40</t>
  </si>
  <si>
    <t>Jona</t>
  </si>
  <si>
    <t>Rickenstrasse 12</t>
  </si>
  <si>
    <t>Hauptstrasse 40</t>
  </si>
  <si>
    <t>Alt St.Johann</t>
  </si>
  <si>
    <t>Hauptstrasse 24</t>
  </si>
  <si>
    <t>Hofstrasse 1</t>
  </si>
  <si>
    <t>Grüenaustrasse 7</t>
  </si>
  <si>
    <t>Hauptgasse 12</t>
  </si>
  <si>
    <t>Lettenstrasse 3</t>
  </si>
  <si>
    <t>Mogelsberg</t>
  </si>
  <si>
    <t>Innerfeld 21</t>
  </si>
  <si>
    <t>Bütschwil</t>
  </si>
  <si>
    <t>Flawilerstrasse 17</t>
  </si>
  <si>
    <t>Hinterdorfstrasse 6</t>
  </si>
  <si>
    <t>Gähwilerstrasse 1</t>
  </si>
  <si>
    <t>Poststrasse 10 + 12</t>
  </si>
  <si>
    <t>Flawiler Strasse 3</t>
  </si>
  <si>
    <t>Stickereiplatz 1</t>
  </si>
  <si>
    <t>Bahnhofstrasse 6</t>
  </si>
  <si>
    <t>Hauptstrasse 79</t>
  </si>
  <si>
    <t>Marktgasse 58</t>
  </si>
  <si>
    <t>Hinterdorfstrasse 3</t>
  </si>
  <si>
    <t>Unterdorf 9</t>
  </si>
  <si>
    <t>Gossauerstrasse 5</t>
  </si>
  <si>
    <t>Oberdorf 10</t>
  </si>
  <si>
    <t>Bahnhofstrasse 25</t>
  </si>
  <si>
    <t>Lätschenstrasse 7</t>
  </si>
  <si>
    <t>Bernhardzellerstrasse 28</t>
  </si>
  <si>
    <t>Abtwil</t>
  </si>
  <si>
    <t>In dieser Datei werden die Finanzausgleichsbeiträge für das Jahr 2023 berechnet.</t>
  </si>
  <si>
    <t>Berechnung Finanzausgleichsbeiträge 2023</t>
  </si>
  <si>
    <t>Ressourcenausgleich 2023</t>
  </si>
  <si>
    <t>Technische Steuerkraft 2021</t>
  </si>
  <si>
    <t>Mittelwert technische Steuerkraft 2020/2021</t>
  </si>
  <si>
    <t>Steuerdaten 2021</t>
  </si>
  <si>
    <t>Sonderlastenausgleich Weite 2023</t>
  </si>
  <si>
    <t>Sonderlastenausgleich Schule 2023</t>
  </si>
  <si>
    <t>Schülerzahlen Volksschule per 31.12.2021</t>
  </si>
  <si>
    <t>Schülerzahlen Sonderschule per 31.12.2021</t>
  </si>
  <si>
    <t>Soziodemographischer Sonderlastenausgleich 2023</t>
  </si>
  <si>
    <t>Sonderlastenausgleich Stadt St.Gallen 2023</t>
  </si>
  <si>
    <t>Indexstand Juni 2022</t>
  </si>
  <si>
    <t>Finanzausgleich 2023 / Auszahlung 1. Rate März</t>
  </si>
  <si>
    <t>Finanzausgleich 2023 / Auszahlung 2. Rate Juni</t>
  </si>
  <si>
    <t>Finanzausgleich 2023 / Auszahlung 3. Rate September</t>
  </si>
  <si>
    <t>Finanzausgleich 2023 / Auszahlung 4. Rate Dezember</t>
  </si>
  <si>
    <t>Finanzausgleich 2023</t>
  </si>
  <si>
    <t>Total Auszahlung
15. März 2023</t>
  </si>
  <si>
    <t>Total Auszahlung
15. Juni 2023</t>
  </si>
  <si>
    <t>Total Auszahlung
15. September 2023</t>
  </si>
  <si>
    <t>Total Auszahlung
15. Dezember 2023</t>
  </si>
  <si>
    <r>
      <t xml:space="preserve">Neckertal </t>
    </r>
    <r>
      <rPr>
        <b/>
        <u/>
        <sz val="10"/>
        <color rgb="FFFF0000"/>
        <rFont val="Arial"/>
        <family val="2"/>
      </rPr>
      <t>neu</t>
    </r>
  </si>
  <si>
    <t>provisorische bzw. Vorjahreswerte</t>
  </si>
  <si>
    <t>DfIF</t>
  </si>
  <si>
    <t>Neckertal neu</t>
  </si>
  <si>
    <t>Die Finanzausgleichsbeiträge für die Auszahlung vom 15. März 2023 setzen sich die folgt zusammen (siehe auch Beilage):</t>
  </si>
  <si>
    <t>Die Finanzausgleichsbeiträge für die Auszahlung vom 15. Juni 2023 setzen sich die folgt zusammen (siehe auch Beilage):</t>
  </si>
  <si>
    <t>Die Finanzausgleichsbeiträge für die Auszahlung vom 15. September 2023 setzen sich die folgt zusammen (siehe auch Beilage):</t>
  </si>
  <si>
    <t>Die Finanzausgleichsbeiträge für die Auszahlung vom 15. Dezember 2023 setzen sich die folgt zusammen (siehe auch Beilage):</t>
  </si>
  <si>
    <t>Dorfplatz 16</t>
  </si>
  <si>
    <t>Finanzausgleich 2023 / definitive Beiträge</t>
  </si>
  <si>
    <t>Definitive Finanzausgleichsbeiträge 2023</t>
  </si>
  <si>
    <t>Total definitive Finanzausgleichsbeiträge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</si>
</sst>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 * #,##0.00_ ;_ * \-#,##0.00_ ;_ * &quot;-&quot;??_ ;_ @_ "/>
    <numFmt numFmtId="164" formatCode="#,##0.00_ ;\-#,##0.00\ "/>
    <numFmt numFmtId="165" formatCode="0.0000%"/>
    <numFmt numFmtId="166" formatCode="#,##0.0000"/>
    <numFmt numFmtId="167" formatCode="#,##0_ ;[Red]\-#,##0\ "/>
    <numFmt numFmtId="168" formatCode="#,##0.00000000"/>
    <numFmt numFmtId="169" formatCode="#,##0.000000000"/>
    <numFmt numFmtId="170" formatCode="#,##0.000"/>
    <numFmt numFmtId="171" formatCode="#,##0.000000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i/>
      <sz val="10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i/>
      <u/>
      <sz val="10"/>
      <color theme="10"/>
      <name val="Arial"/>
      <family val="2"/>
    </font>
    <font>
      <b/>
      <u/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4" fillId="0" borderId="0" applyNumberFormat="0" applyFill="0" applyBorder="0" applyAlignment="0" applyProtection="0"/>
    <xf numFmtId="0" fontId="16" fillId="0" borderId="0">
      <alignment vertical="center"/>
    </xf>
  </cellStyleXfs>
  <cellXfs count="210">
    <xf numFmtId="0" fontId="0" fillId="0" borderId="0" xfId="0"/>
    <xf numFmtId="4" fontId="0" fillId="0" borderId="0" xfId="1" applyNumberFormat="1" applyFont="1" applyFill="1" applyBorder="1"/>
    <xf numFmtId="43" fontId="0" fillId="0" borderId="0" xfId="1" applyFont="1" applyFill="1" applyBorder="1"/>
    <xf numFmtId="0" fontId="0" fillId="0" borderId="0" xfId="0" applyBorder="1"/>
    <xf numFmtId="4" fontId="0" fillId="0" borderId="0" xfId="0" applyNumberFormat="1" applyBorder="1"/>
    <xf numFmtId="4" fontId="0" fillId="0" borderId="0" xfId="0" applyNumberFormat="1" applyFill="1" applyBorder="1"/>
    <xf numFmtId="9" fontId="0" fillId="0" borderId="0" xfId="0" applyNumberFormat="1" applyFill="1" applyBorder="1"/>
    <xf numFmtId="0" fontId="8" fillId="4" borderId="0" xfId="0" applyFont="1" applyFill="1" applyBorder="1"/>
    <xf numFmtId="43" fontId="8" fillId="4" borderId="0" xfId="1" applyFont="1" applyFill="1" applyBorder="1"/>
    <xf numFmtId="4" fontId="0" fillId="3" borderId="0" xfId="1" applyNumberFormat="1" applyFont="1" applyFill="1" applyBorder="1"/>
    <xf numFmtId="9" fontId="0" fillId="3" borderId="0" xfId="0" applyNumberFormat="1" applyFill="1" applyBorder="1"/>
    <xf numFmtId="9" fontId="0" fillId="3" borderId="0" xfId="1" applyNumberFormat="1" applyFont="1" applyFill="1" applyBorder="1"/>
    <xf numFmtId="4" fontId="0" fillId="3" borderId="0" xfId="0" applyNumberFormat="1" applyFill="1" applyBorder="1"/>
    <xf numFmtId="4" fontId="0" fillId="2" borderId="0" xfId="0" applyNumberFormat="1" applyFill="1" applyBorder="1"/>
    <xf numFmtId="4" fontId="0" fillId="2" borderId="0" xfId="1" applyNumberFormat="1" applyFont="1" applyFill="1" applyBorder="1"/>
    <xf numFmtId="4" fontId="2" fillId="0" borderId="0" xfId="0" applyNumberFormat="1" applyFont="1" applyFill="1" applyBorder="1"/>
    <xf numFmtId="4" fontId="2" fillId="2" borderId="0" xfId="0" applyNumberFormat="1" applyFont="1" applyFill="1" applyBorder="1"/>
    <xf numFmtId="4" fontId="2" fillId="2" borderId="0" xfId="1" applyNumberFormat="1" applyFont="1" applyFill="1" applyBorder="1"/>
    <xf numFmtId="0" fontId="3" fillId="0" borderId="0" xfId="0" applyFont="1" applyBorder="1"/>
    <xf numFmtId="167" fontId="0" fillId="0" borderId="0" xfId="0" applyNumberFormat="1" applyFont="1" applyFill="1" applyBorder="1"/>
    <xf numFmtId="0" fontId="0" fillId="3" borderId="0" xfId="0" applyFill="1" applyBorder="1"/>
    <xf numFmtId="0" fontId="2" fillId="0" borderId="0" xfId="0" applyFont="1" applyBorder="1"/>
    <xf numFmtId="0" fontId="7" fillId="4" borderId="0" xfId="0" applyFont="1" applyFill="1" applyBorder="1"/>
    <xf numFmtId="0" fontId="7" fillId="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2" borderId="0" xfId="0" applyFont="1" applyFill="1" applyBorder="1"/>
    <xf numFmtId="0" fontId="9" fillId="2" borderId="0" xfId="0" applyFont="1" applyFill="1" applyBorder="1"/>
    <xf numFmtId="0" fontId="2" fillId="2" borderId="0" xfId="0" applyFont="1" applyFill="1" applyBorder="1"/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Fill="1" applyBorder="1"/>
    <xf numFmtId="0" fontId="9" fillId="0" borderId="0" xfId="0" applyFont="1" applyFill="1" applyBorder="1"/>
    <xf numFmtId="0" fontId="2" fillId="0" borderId="0" xfId="0" applyFont="1" applyFill="1" applyBorder="1"/>
    <xf numFmtId="0" fontId="0" fillId="0" borderId="0" xfId="0" applyFont="1" applyBorder="1"/>
    <xf numFmtId="4" fontId="2" fillId="0" borderId="0" xfId="0" applyNumberFormat="1" applyFont="1" applyBorder="1"/>
    <xf numFmtId="0" fontId="0" fillId="2" borderId="0" xfId="0" applyFill="1" applyBorder="1"/>
    <xf numFmtId="4" fontId="0" fillId="0" borderId="0" xfId="0" applyNumberFormat="1" applyFont="1" applyFill="1" applyBorder="1"/>
    <xf numFmtId="4" fontId="0" fillId="2" borderId="0" xfId="0" applyNumberFormat="1" applyFont="1" applyFill="1" applyBorder="1"/>
    <xf numFmtId="0" fontId="0" fillId="0" borderId="0" xfId="0" applyFill="1" applyBorder="1"/>
    <xf numFmtId="166" fontId="0" fillId="0" borderId="0" xfId="0" applyNumberFormat="1" applyFont="1" applyFill="1" applyBorder="1"/>
    <xf numFmtId="0" fontId="4" fillId="0" borderId="0" xfId="0" applyFont="1" applyFill="1" applyBorder="1"/>
    <xf numFmtId="164" fontId="0" fillId="3" borderId="0" xfId="1" applyNumberFormat="1" applyFont="1" applyFill="1" applyBorder="1"/>
    <xf numFmtId="164" fontId="2" fillId="0" borderId="0" xfId="0" applyNumberFormat="1" applyFont="1" applyBorder="1"/>
    <xf numFmtId="165" fontId="0" fillId="0" borderId="0" xfId="0" applyNumberFormat="1" applyFont="1" applyFill="1" applyBorder="1"/>
    <xf numFmtId="4" fontId="0" fillId="3" borderId="0" xfId="0" applyNumberFormat="1" applyFont="1" applyFill="1" applyBorder="1"/>
    <xf numFmtId="166" fontId="0" fillId="0" borderId="0" xfId="0" applyNumberFormat="1" applyFill="1" applyBorder="1"/>
    <xf numFmtId="4" fontId="7" fillId="4" borderId="0" xfId="0" applyNumberFormat="1" applyFont="1" applyFill="1" applyBorder="1"/>
    <xf numFmtId="4" fontId="0" fillId="0" borderId="0" xfId="0" applyNumberFormat="1" applyFont="1" applyBorder="1"/>
    <xf numFmtId="3" fontId="0" fillId="0" borderId="0" xfId="0" applyNumberFormat="1" applyFont="1" applyBorder="1"/>
    <xf numFmtId="3" fontId="0" fillId="3" borderId="0" xfId="0" applyNumberFormat="1" applyFill="1" applyBorder="1"/>
    <xf numFmtId="3" fontId="2" fillId="0" borderId="0" xfId="0" applyNumberFormat="1" applyFont="1" applyBorder="1"/>
    <xf numFmtId="3" fontId="0" fillId="0" borderId="0" xfId="0" applyNumberFormat="1" applyFill="1" applyBorder="1"/>
    <xf numFmtId="3" fontId="2" fillId="0" borderId="0" xfId="0" applyNumberFormat="1" applyFont="1" applyFill="1" applyBorder="1"/>
    <xf numFmtId="9" fontId="0" fillId="0" borderId="0" xfId="0" applyNumberFormat="1" applyBorder="1"/>
    <xf numFmtId="0" fontId="2" fillId="5" borderId="0" xfId="0" applyFont="1" applyFill="1" applyBorder="1"/>
    <xf numFmtId="4" fontId="2" fillId="5" borderId="0" xfId="0" applyNumberFormat="1" applyFont="1" applyFill="1" applyBorder="1"/>
    <xf numFmtId="0" fontId="8" fillId="0" borderId="0" xfId="0" applyFont="1" applyFill="1" applyBorder="1"/>
    <xf numFmtId="0" fontId="7" fillId="0" borderId="0" xfId="0" applyFont="1" applyFill="1" applyBorder="1"/>
    <xf numFmtId="0" fontId="0" fillId="5" borderId="0" xfId="0" applyFill="1" applyBorder="1"/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0" fontId="2" fillId="6" borderId="0" xfId="0" applyFont="1" applyFill="1" applyBorder="1"/>
    <xf numFmtId="4" fontId="2" fillId="6" borderId="0" xfId="0" applyNumberFormat="1" applyFont="1" applyFill="1" applyBorder="1"/>
    <xf numFmtId="0" fontId="0" fillId="6" borderId="0" xfId="0" applyFont="1" applyFill="1" applyBorder="1"/>
    <xf numFmtId="168" fontId="0" fillId="0" borderId="0" xfId="0" applyNumberFormat="1" applyFill="1" applyBorder="1"/>
    <xf numFmtId="169" fontId="0" fillId="0" borderId="0" xfId="0" applyNumberFormat="1" applyFill="1" applyBorder="1"/>
    <xf numFmtId="10" fontId="0" fillId="0" borderId="0" xfId="0" applyNumberFormat="1" applyFill="1" applyBorder="1"/>
    <xf numFmtId="0" fontId="0" fillId="6" borderId="0" xfId="0" applyFill="1" applyBorder="1"/>
    <xf numFmtId="4" fontId="0" fillId="6" borderId="0" xfId="0" applyNumberFormat="1" applyFill="1" applyBorder="1"/>
    <xf numFmtId="0" fontId="7" fillId="7" borderId="0" xfId="0" applyFont="1" applyFill="1" applyBorder="1"/>
    <xf numFmtId="4" fontId="7" fillId="7" borderId="0" xfId="0" applyNumberFormat="1" applyFont="1" applyFill="1" applyBorder="1"/>
    <xf numFmtId="2" fontId="1" fillId="3" borderId="0" xfId="2" applyNumberFormat="1" applyFont="1" applyFill="1"/>
    <xf numFmtId="3" fontId="0" fillId="3" borderId="0" xfId="0" applyNumberFormat="1" applyFont="1" applyFill="1" applyBorder="1"/>
    <xf numFmtId="4" fontId="0" fillId="0" borderId="0" xfId="0" applyNumberFormat="1" applyFont="1" applyFill="1" applyBorder="1" applyAlignment="1">
      <alignment horizontal="right"/>
    </xf>
    <xf numFmtId="170" fontId="0" fillId="3" borderId="0" xfId="0" applyNumberFormat="1" applyFill="1" applyBorder="1"/>
    <xf numFmtId="9" fontId="0" fillId="3" borderId="0" xfId="0" applyNumberFormat="1" applyFont="1" applyFill="1" applyBorder="1"/>
    <xf numFmtId="9" fontId="0" fillId="0" borderId="0" xfId="0" applyNumberFormat="1" applyFont="1" applyFill="1" applyBorder="1"/>
    <xf numFmtId="0" fontId="0" fillId="0" borderId="0" xfId="0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Fill="1"/>
    <xf numFmtId="4" fontId="0" fillId="3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164" fontId="0" fillId="0" borderId="0" xfId="1" applyNumberFormat="1" applyFont="1" applyFill="1" applyBorder="1"/>
    <xf numFmtId="164" fontId="2" fillId="0" borderId="0" xfId="0" applyNumberFormat="1" applyFont="1" applyFill="1" applyBorder="1"/>
    <xf numFmtId="165" fontId="0" fillId="0" borderId="0" xfId="0" applyNumberFormat="1" applyFont="1" applyFill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3" fontId="0" fillId="3" borderId="0" xfId="0" applyNumberFormat="1" applyFont="1" applyFill="1" applyBorder="1" applyAlignment="1">
      <alignment horizontal="right"/>
    </xf>
    <xf numFmtId="9" fontId="0" fillId="3" borderId="0" xfId="0" applyNumberFormat="1" applyFont="1" applyFill="1" applyBorder="1" applyAlignment="1">
      <alignment horizontal="right"/>
    </xf>
    <xf numFmtId="0" fontId="15" fillId="0" borderId="0" xfId="0" applyFont="1" applyAlignment="1" applyProtection="1">
      <alignment vertical="center"/>
      <protection hidden="1"/>
    </xf>
    <xf numFmtId="0" fontId="14" fillId="0" borderId="0" xfId="3" applyAlignment="1">
      <alignment horizontal="left" vertical="center"/>
    </xf>
    <xf numFmtId="1" fontId="16" fillId="0" borderId="1" xfId="0" applyNumberFormat="1" applyFont="1" applyFill="1" applyBorder="1" applyAlignment="1">
      <alignment horizontal="center"/>
    </xf>
    <xf numFmtId="1" fontId="16" fillId="0" borderId="2" xfId="0" applyNumberFormat="1" applyFont="1" applyFill="1" applyBorder="1" applyAlignment="1">
      <alignment horizontal="center"/>
    </xf>
    <xf numFmtId="0" fontId="0" fillId="9" borderId="0" xfId="0" applyFill="1" applyBorder="1"/>
    <xf numFmtId="4" fontId="0" fillId="9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0" fontId="17" fillId="0" borderId="0" xfId="0" applyFont="1" applyBorder="1"/>
    <xf numFmtId="1" fontId="16" fillId="0" borderId="6" xfId="0" applyNumberFormat="1" applyFont="1" applyFill="1" applyBorder="1" applyAlignment="1">
      <alignment horizontal="center"/>
    </xf>
    <xf numFmtId="3" fontId="0" fillId="0" borderId="7" xfId="0" applyNumberFormat="1" applyFill="1" applyBorder="1"/>
    <xf numFmtId="0" fontId="0" fillId="0" borderId="9" xfId="0" applyBorder="1"/>
    <xf numFmtId="3" fontId="2" fillId="0" borderId="10" xfId="0" applyNumberFormat="1" applyFont="1" applyBorder="1"/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Fill="1" applyBorder="1"/>
    <xf numFmtId="3" fontId="0" fillId="0" borderId="11" xfId="0" applyNumberFormat="1" applyFill="1" applyBorder="1"/>
    <xf numFmtId="3" fontId="0" fillId="0" borderId="12" xfId="0" applyNumberFormat="1" applyFill="1" applyBorder="1"/>
    <xf numFmtId="3" fontId="2" fillId="0" borderId="3" xfId="0" applyNumberFormat="1" applyFont="1" applyBorder="1"/>
    <xf numFmtId="0" fontId="2" fillId="0" borderId="3" xfId="0" applyFont="1" applyBorder="1" applyAlignment="1">
      <alignment vertical="top"/>
    </xf>
    <xf numFmtId="0" fontId="0" fillId="0" borderId="1" xfId="0" applyBorder="1"/>
    <xf numFmtId="3" fontId="2" fillId="0" borderId="4" xfId="0" applyNumberFormat="1" applyFont="1" applyBorder="1"/>
    <xf numFmtId="0" fontId="0" fillId="0" borderId="6" xfId="0" applyBorder="1"/>
    <xf numFmtId="0" fontId="2" fillId="0" borderId="13" xfId="0" applyFont="1" applyFill="1" applyBorder="1"/>
    <xf numFmtId="0" fontId="0" fillId="0" borderId="12" xfId="0" applyBorder="1"/>
    <xf numFmtId="3" fontId="2" fillId="0" borderId="13" xfId="0" applyNumberFormat="1" applyFont="1" applyBorder="1"/>
    <xf numFmtId="0" fontId="3" fillId="0" borderId="0" xfId="0" applyFont="1" applyBorder="1" applyAlignment="1">
      <alignment horizontal="left" vertical="top"/>
    </xf>
    <xf numFmtId="0" fontId="0" fillId="9" borderId="0" xfId="0" applyFill="1"/>
    <xf numFmtId="3" fontId="0" fillId="0" borderId="4" xfId="0" applyNumberFormat="1" applyFill="1" applyBorder="1"/>
    <xf numFmtId="0" fontId="0" fillId="0" borderId="13" xfId="0" applyFont="1" applyBorder="1"/>
    <xf numFmtId="0" fontId="0" fillId="0" borderId="11" xfId="0" applyFont="1" applyBorder="1"/>
    <xf numFmtId="0" fontId="0" fillId="0" borderId="12" xfId="0" applyFont="1" applyBorder="1"/>
    <xf numFmtId="0" fontId="2" fillId="0" borderId="3" xfId="0" applyFont="1" applyFill="1" applyBorder="1"/>
    <xf numFmtId="3" fontId="0" fillId="0" borderId="13" xfId="0" applyNumberFormat="1" applyFill="1" applyBorder="1"/>
    <xf numFmtId="3" fontId="2" fillId="0" borderId="13" xfId="0" applyNumberFormat="1" applyFont="1" applyFill="1" applyBorder="1"/>
    <xf numFmtId="3" fontId="2" fillId="0" borderId="11" xfId="0" applyNumberFormat="1" applyFont="1" applyFill="1" applyBorder="1"/>
    <xf numFmtId="3" fontId="2" fillId="0" borderId="12" xfId="0" applyNumberFormat="1" applyFont="1" applyFill="1" applyBorder="1"/>
    <xf numFmtId="0" fontId="16" fillId="0" borderId="12" xfId="0" applyFont="1" applyFill="1" applyBorder="1" applyAlignment="1">
      <alignment horizontal="right" wrapText="1"/>
    </xf>
    <xf numFmtId="0" fontId="16" fillId="0" borderId="7" xfId="0" applyFont="1" applyFill="1" applyBorder="1" applyAlignment="1">
      <alignment horizontal="right" wrapText="1"/>
    </xf>
    <xf numFmtId="0" fontId="16" fillId="0" borderId="12" xfId="0" applyFont="1" applyFill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/>
    </xf>
    <xf numFmtId="43" fontId="16" fillId="0" borderId="0" xfId="1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43" fontId="11" fillId="0" borderId="0" xfId="1" applyFont="1" applyBorder="1" applyAlignment="1">
      <alignment vertical="top"/>
    </xf>
    <xf numFmtId="0" fontId="0" fillId="0" borderId="4" xfId="0" applyBorder="1"/>
    <xf numFmtId="4" fontId="0" fillId="0" borderId="0" xfId="0" applyNumberFormat="1"/>
    <xf numFmtId="4" fontId="0" fillId="0" borderId="4" xfId="0" applyNumberFormat="1" applyBorder="1"/>
    <xf numFmtId="4" fontId="2" fillId="0" borderId="0" xfId="0" applyNumberFormat="1" applyFont="1"/>
    <xf numFmtId="0" fontId="8" fillId="0" borderId="0" xfId="0" applyFont="1"/>
    <xf numFmtId="0" fontId="2" fillId="13" borderId="0" xfId="0" applyFont="1" applyFill="1" applyBorder="1"/>
    <xf numFmtId="4" fontId="2" fillId="13" borderId="0" xfId="0" applyNumberFormat="1" applyFont="1" applyFill="1" applyBorder="1"/>
    <xf numFmtId="0" fontId="16" fillId="0" borderId="6" xfId="0" applyFont="1" applyFill="1" applyBorder="1" applyAlignment="1">
      <alignment horizontal="right" wrapText="1"/>
    </xf>
    <xf numFmtId="1" fontId="0" fillId="0" borderId="0" xfId="0" quotePrefix="1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166" fontId="2" fillId="0" borderId="0" xfId="0" applyNumberFormat="1" applyFont="1" applyBorder="1"/>
    <xf numFmtId="171" fontId="2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Protection="1">
      <protection hidden="1"/>
    </xf>
    <xf numFmtId="0" fontId="11" fillId="5" borderId="6" xfId="0" applyFont="1" applyFill="1" applyBorder="1" applyAlignment="1" applyProtection="1">
      <alignment vertical="center"/>
      <protection hidden="1"/>
    </xf>
    <xf numFmtId="0" fontId="11" fillId="5" borderId="7" xfId="0" applyFont="1" applyFill="1" applyBorder="1" applyAlignment="1" applyProtection="1">
      <alignment vertical="center"/>
      <protection hidden="1"/>
    </xf>
    <xf numFmtId="0" fontId="11" fillId="5" borderId="10" xfId="0" applyFont="1" applyFill="1" applyBorder="1" applyAlignment="1" applyProtection="1">
      <alignment vertical="center"/>
      <protection hidden="1"/>
    </xf>
    <xf numFmtId="4" fontId="11" fillId="5" borderId="10" xfId="0" applyNumberFormat="1" applyFont="1" applyFill="1" applyBorder="1" applyAlignment="1" applyProtection="1">
      <alignment vertical="center"/>
      <protection hidden="1"/>
    </xf>
    <xf numFmtId="4" fontId="11" fillId="5" borderId="14" xfId="0" applyNumberFormat="1" applyFont="1" applyFill="1" applyBorder="1" applyAlignment="1" applyProtection="1">
      <alignment vertical="center"/>
      <protection hidden="1"/>
    </xf>
    <xf numFmtId="0" fontId="0" fillId="0" borderId="9" xfId="0" applyFont="1" applyBorder="1" applyAlignment="1">
      <alignment vertical="center"/>
    </xf>
    <xf numFmtId="0" fontId="0" fillId="0" borderId="10" xfId="0" applyFill="1" applyBorder="1" applyAlignment="1" applyProtection="1">
      <alignment vertical="center"/>
      <protection hidden="1"/>
    </xf>
    <xf numFmtId="0" fontId="11" fillId="5" borderId="9" xfId="0" applyFont="1" applyFill="1" applyBorder="1" applyAlignment="1" applyProtection="1">
      <alignment vertical="center"/>
      <protection hidden="1"/>
    </xf>
    <xf numFmtId="4" fontId="11" fillId="5" borderId="9" xfId="0" applyNumberFormat="1" applyFont="1" applyFill="1" applyBorder="1" applyAlignment="1" applyProtection="1">
      <alignment vertical="center"/>
      <protection hidden="1"/>
    </xf>
    <xf numFmtId="4" fontId="11" fillId="5" borderId="8" xfId="0" applyNumberFormat="1" applyFont="1" applyFill="1" applyBorder="1" applyAlignment="1" applyProtection="1">
      <alignment vertical="center"/>
      <protection hidden="1"/>
    </xf>
    <xf numFmtId="0" fontId="0" fillId="0" borderId="9" xfId="0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 vertical="center"/>
    </xf>
    <xf numFmtId="4" fontId="0" fillId="0" borderId="14" xfId="0" applyNumberFormat="1" applyFill="1" applyBorder="1" applyAlignment="1" applyProtection="1">
      <alignment vertical="center"/>
      <protection hidden="1"/>
    </xf>
    <xf numFmtId="4" fontId="0" fillId="0" borderId="10" xfId="0" applyNumberFormat="1" applyFill="1" applyBorder="1" applyAlignment="1" applyProtection="1">
      <alignment vertical="center"/>
      <protection hidden="1"/>
    </xf>
    <xf numFmtId="4" fontId="0" fillId="0" borderId="9" xfId="0" applyNumberFormat="1" applyFill="1" applyBorder="1" applyAlignment="1" applyProtection="1">
      <alignment vertical="center"/>
      <protection hidden="1"/>
    </xf>
    <xf numFmtId="0" fontId="11" fillId="0" borderId="1" xfId="0" applyFont="1" applyFill="1" applyBorder="1" applyAlignment="1" applyProtection="1">
      <alignment vertical="center"/>
      <protection hidden="1"/>
    </xf>
    <xf numFmtId="0" fontId="11" fillId="0" borderId="4" xfId="0" applyFont="1" applyFill="1" applyBorder="1" applyAlignment="1" applyProtection="1">
      <alignment vertical="center"/>
      <protection hidden="1"/>
    </xf>
    <xf numFmtId="0" fontId="11" fillId="0" borderId="5" xfId="0" applyFont="1" applyFill="1" applyBorder="1" applyAlignment="1" applyProtection="1">
      <alignment horizontal="right" vertical="center"/>
      <protection hidden="1"/>
    </xf>
    <xf numFmtId="0" fontId="11" fillId="0" borderId="4" xfId="0" applyFont="1" applyFill="1" applyBorder="1" applyAlignment="1" applyProtection="1">
      <alignment horizontal="right" vertical="center"/>
      <protection hidden="1"/>
    </xf>
    <xf numFmtId="0" fontId="11" fillId="0" borderId="1" xfId="0" applyFont="1" applyFill="1" applyBorder="1" applyAlignment="1" applyProtection="1">
      <alignment horizontal="right" vertical="center"/>
      <protection hidden="1"/>
    </xf>
    <xf numFmtId="0" fontId="0" fillId="0" borderId="0" xfId="0" applyFont="1"/>
    <xf numFmtId="0" fontId="19" fillId="0" borderId="14" xfId="3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top" wrapText="1"/>
    </xf>
    <xf numFmtId="3" fontId="0" fillId="0" borderId="11" xfId="0" applyNumberFormat="1" applyFill="1" applyBorder="1" applyAlignment="1">
      <alignment horizontal="right"/>
    </xf>
    <xf numFmtId="4" fontId="2" fillId="0" borderId="14" xfId="0" applyNumberFormat="1" applyFont="1" applyBorder="1"/>
    <xf numFmtId="1" fontId="16" fillId="0" borderId="11" xfId="0" applyNumberFormat="1" applyFont="1" applyFill="1" applyBorder="1" applyAlignment="1">
      <alignment horizontal="right"/>
    </xf>
    <xf numFmtId="0" fontId="2" fillId="14" borderId="0" xfId="0" applyFont="1" applyFill="1" applyBorder="1"/>
    <xf numFmtId="3" fontId="0" fillId="15" borderId="0" xfId="0" applyNumberFormat="1" applyFill="1" applyBorder="1"/>
    <xf numFmtId="0" fontId="0" fillId="15" borderId="0" xfId="0" applyFill="1" applyBorder="1"/>
    <xf numFmtId="4" fontId="0" fillId="15" borderId="0" xfId="0" applyNumberFormat="1" applyFill="1" applyBorder="1"/>
    <xf numFmtId="4" fontId="0" fillId="15" borderId="0" xfId="0" applyNumberFormat="1" applyFont="1" applyFill="1" applyBorder="1"/>
    <xf numFmtId="3" fontId="0" fillId="0" borderId="1" xfId="0" applyNumberFormat="1" applyFill="1" applyBorder="1"/>
    <xf numFmtId="3" fontId="0" fillId="0" borderId="2" xfId="0" applyNumberFormat="1" applyFill="1" applyBorder="1"/>
    <xf numFmtId="3" fontId="0" fillId="0" borderId="6" xfId="0" applyNumberFormat="1" applyFill="1" applyBorder="1"/>
    <xf numFmtId="4" fontId="2" fillId="0" borderId="13" xfId="0" applyNumberFormat="1" applyFont="1" applyFill="1" applyBorder="1" applyAlignment="1">
      <alignment horizontal="right" vertical="top" wrapText="1"/>
    </xf>
    <xf numFmtId="3" fontId="2" fillId="0" borderId="12" xfId="0" applyNumberFormat="1" applyFont="1" applyBorder="1"/>
    <xf numFmtId="4" fontId="0" fillId="15" borderId="0" xfId="1" applyNumberFormat="1" applyFont="1" applyFill="1" applyBorder="1"/>
    <xf numFmtId="3" fontId="0" fillId="0" borderId="0" xfId="0" applyNumberFormat="1" applyFont="1" applyFill="1" applyBorder="1"/>
    <xf numFmtId="0" fontId="0" fillId="3" borderId="0" xfId="0" applyFont="1" applyFill="1" applyBorder="1"/>
    <xf numFmtId="0" fontId="8" fillId="10" borderId="0" xfId="0" applyFont="1" applyFill="1" applyAlignment="1">
      <alignment vertical="top" wrapText="1"/>
    </xf>
    <xf numFmtId="0" fontId="0" fillId="10" borderId="0" xfId="0" applyFill="1" applyAlignment="1">
      <alignment vertical="top" wrapText="1"/>
    </xf>
    <xf numFmtId="0" fontId="0" fillId="10" borderId="0" xfId="0" applyFill="1" applyAlignment="1">
      <alignment wrapText="1"/>
    </xf>
    <xf numFmtId="0" fontId="8" fillId="11" borderId="0" xfId="0" applyFont="1" applyFill="1" applyAlignment="1">
      <alignment vertical="top" wrapText="1"/>
    </xf>
    <xf numFmtId="0" fontId="0" fillId="11" borderId="0" xfId="0" applyFill="1" applyAlignment="1">
      <alignment vertical="top" wrapText="1"/>
    </xf>
    <xf numFmtId="0" fontId="8" fillId="1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16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12" fillId="8" borderId="0" xfId="0" applyFont="1" applyFill="1" applyBorder="1" applyAlignment="1" applyProtection="1">
      <alignment vertical="center"/>
      <protection locked="0" hidden="1"/>
    </xf>
    <xf numFmtId="0" fontId="0" fillId="0" borderId="0" xfId="0" applyBorder="1" applyAlignment="1" applyProtection="1">
      <alignment vertical="center"/>
      <protection locked="0"/>
    </xf>
  </cellXfs>
  <cellStyles count="5">
    <cellStyle name="Komma" xfId="1" builtinId="3"/>
    <cellStyle name="Link" xfId="3" builtinId="8"/>
    <cellStyle name="ST2 2" xfId="4"/>
    <cellStyle name="Standard" xfId="0" builtinId="0"/>
    <cellStyle name="Standard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</xdr:colOff>
      <xdr:row>0</xdr:row>
      <xdr:rowOff>47625</xdr:rowOff>
    </xdr:from>
    <xdr:to>
      <xdr:col>7</xdr:col>
      <xdr:colOff>591185</xdr:colOff>
      <xdr:row>3</xdr:row>
      <xdr:rowOff>151130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57825" y="47625"/>
          <a:ext cx="467360" cy="5892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351693</xdr:colOff>
      <xdr:row>0</xdr:row>
      <xdr:rowOff>64476</xdr:rowOff>
    </xdr:from>
    <xdr:to>
      <xdr:col>4</xdr:col>
      <xdr:colOff>819053</xdr:colOff>
      <xdr:row>4</xdr:row>
      <xdr:rowOff>6789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1116" y="64476"/>
          <a:ext cx="467360" cy="587082"/>
        </a:xfrm>
        <a:prstGeom prst="rect">
          <a:avLst/>
        </a:prstGeom>
      </xdr:spPr>
    </xdr:pic>
    <xdr:clientData/>
  </xdr:twoCellAnchor>
  <xdr:oneCellAnchor>
    <xdr:from>
      <xdr:col>10</xdr:col>
      <xdr:colOff>351693</xdr:colOff>
      <xdr:row>0</xdr:row>
      <xdr:rowOff>64476</xdr:rowOff>
    </xdr:from>
    <xdr:ext cx="467360" cy="587082"/>
    <xdr:pic>
      <xdr:nvPicPr>
        <xdr:cNvPr id="6" name="Grafik 5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1116" y="64476"/>
          <a:ext cx="467360" cy="587082"/>
        </a:xfrm>
        <a:prstGeom prst="rect">
          <a:avLst/>
        </a:prstGeom>
      </xdr:spPr>
    </xdr:pic>
    <xdr:clientData/>
  </xdr:oneCellAnchor>
  <xdr:oneCellAnchor>
    <xdr:from>
      <xdr:col>16</xdr:col>
      <xdr:colOff>351693</xdr:colOff>
      <xdr:row>0</xdr:row>
      <xdr:rowOff>64476</xdr:rowOff>
    </xdr:from>
    <xdr:ext cx="467360" cy="587082"/>
    <xdr:pic>
      <xdr:nvPicPr>
        <xdr:cNvPr id="7" name="Grafik 6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99481" y="64476"/>
          <a:ext cx="467360" cy="587082"/>
        </a:xfrm>
        <a:prstGeom prst="rect">
          <a:avLst/>
        </a:prstGeom>
      </xdr:spPr>
    </xdr:pic>
    <xdr:clientData/>
  </xdr:oneCellAnchor>
  <xdr:oneCellAnchor>
    <xdr:from>
      <xdr:col>22</xdr:col>
      <xdr:colOff>351693</xdr:colOff>
      <xdr:row>0</xdr:row>
      <xdr:rowOff>64476</xdr:rowOff>
    </xdr:from>
    <xdr:ext cx="467360" cy="587082"/>
    <xdr:pic>
      <xdr:nvPicPr>
        <xdr:cNvPr id="8" name="Grafik 7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77847" y="64476"/>
          <a:ext cx="467360" cy="587082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590550</xdr:colOff>
      <xdr:row>0</xdr:row>
      <xdr:rowOff>57150</xdr:rowOff>
    </xdr:from>
    <xdr:to>
      <xdr:col>12</xdr:col>
      <xdr:colOff>1057910</xdr:colOff>
      <xdr:row>3</xdr:row>
      <xdr:rowOff>160655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53575" y="57150"/>
          <a:ext cx="467360" cy="5892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38100</xdr:rowOff>
    </xdr:from>
    <xdr:to>
      <xdr:col>4</xdr:col>
      <xdr:colOff>638810</xdr:colOff>
      <xdr:row>3</xdr:row>
      <xdr:rowOff>141605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0300" y="38100"/>
          <a:ext cx="467360" cy="5892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971550</xdr:colOff>
      <xdr:row>0</xdr:row>
      <xdr:rowOff>57150</xdr:rowOff>
    </xdr:from>
    <xdr:to>
      <xdr:col>3</xdr:col>
      <xdr:colOff>1438910</xdr:colOff>
      <xdr:row>3</xdr:row>
      <xdr:rowOff>160655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0" y="57150"/>
          <a:ext cx="467360" cy="58928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971550</xdr:colOff>
      <xdr:row>0</xdr:row>
      <xdr:rowOff>57150</xdr:rowOff>
    </xdr:from>
    <xdr:to>
      <xdr:col>3</xdr:col>
      <xdr:colOff>1438910</xdr:colOff>
      <xdr:row>3</xdr:row>
      <xdr:rowOff>160655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0" y="57150"/>
          <a:ext cx="467360" cy="5892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971550</xdr:colOff>
      <xdr:row>0</xdr:row>
      <xdr:rowOff>57150</xdr:rowOff>
    </xdr:from>
    <xdr:to>
      <xdr:col>3</xdr:col>
      <xdr:colOff>1438910</xdr:colOff>
      <xdr:row>3</xdr:row>
      <xdr:rowOff>160655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0" y="57150"/>
          <a:ext cx="467360" cy="5892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971550</xdr:colOff>
      <xdr:row>0</xdr:row>
      <xdr:rowOff>57150</xdr:rowOff>
    </xdr:from>
    <xdr:to>
      <xdr:col>3</xdr:col>
      <xdr:colOff>1438910</xdr:colOff>
      <xdr:row>3</xdr:row>
      <xdr:rowOff>160655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0" y="57150"/>
          <a:ext cx="467360" cy="589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879231</xdr:colOff>
      <xdr:row>0</xdr:row>
      <xdr:rowOff>43228</xdr:rowOff>
    </xdr:from>
    <xdr:to>
      <xdr:col>2</xdr:col>
      <xdr:colOff>1346591</xdr:colOff>
      <xdr:row>3</xdr:row>
      <xdr:rowOff>147466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1531" y="43228"/>
          <a:ext cx="467360" cy="5900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879231</xdr:colOff>
      <xdr:row>0</xdr:row>
      <xdr:rowOff>43228</xdr:rowOff>
    </xdr:from>
    <xdr:to>
      <xdr:col>2</xdr:col>
      <xdr:colOff>1346591</xdr:colOff>
      <xdr:row>3</xdr:row>
      <xdr:rowOff>147466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1531" y="43228"/>
          <a:ext cx="467360" cy="5900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879231</xdr:colOff>
      <xdr:row>0</xdr:row>
      <xdr:rowOff>43228</xdr:rowOff>
    </xdr:from>
    <xdr:to>
      <xdr:col>2</xdr:col>
      <xdr:colOff>1346591</xdr:colOff>
      <xdr:row>3</xdr:row>
      <xdr:rowOff>147466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1606" y="43228"/>
          <a:ext cx="467360" cy="59001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879231</xdr:colOff>
      <xdr:row>0</xdr:row>
      <xdr:rowOff>43228</xdr:rowOff>
    </xdr:from>
    <xdr:to>
      <xdr:col>2</xdr:col>
      <xdr:colOff>1346591</xdr:colOff>
      <xdr:row>3</xdr:row>
      <xdr:rowOff>147466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1606" y="43228"/>
          <a:ext cx="467360" cy="59001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879231</xdr:colOff>
      <xdr:row>0</xdr:row>
      <xdr:rowOff>43228</xdr:rowOff>
    </xdr:from>
    <xdr:to>
      <xdr:col>2</xdr:col>
      <xdr:colOff>1346591</xdr:colOff>
      <xdr:row>3</xdr:row>
      <xdr:rowOff>147466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1606" y="43228"/>
          <a:ext cx="467360" cy="59001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460131</xdr:colOff>
      <xdr:row>0</xdr:row>
      <xdr:rowOff>62278</xdr:rowOff>
    </xdr:from>
    <xdr:to>
      <xdr:col>7</xdr:col>
      <xdr:colOff>927491</xdr:colOff>
      <xdr:row>4</xdr:row>
      <xdr:rowOff>4591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3431" y="62278"/>
          <a:ext cx="467360" cy="59001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460131</xdr:colOff>
      <xdr:row>0</xdr:row>
      <xdr:rowOff>62278</xdr:rowOff>
    </xdr:from>
    <xdr:to>
      <xdr:col>7</xdr:col>
      <xdr:colOff>927491</xdr:colOff>
      <xdr:row>4</xdr:row>
      <xdr:rowOff>4591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3431" y="62278"/>
          <a:ext cx="467360" cy="590013"/>
        </a:xfrm>
        <a:prstGeom prst="rect">
          <a:avLst/>
        </a:prstGeom>
      </xdr:spPr>
    </xdr:pic>
    <xdr:clientData/>
  </xdr:twoCellAnchor>
  <xdr:oneCellAnchor>
    <xdr:from>
      <xdr:col>16</xdr:col>
      <xdr:colOff>460131</xdr:colOff>
      <xdr:row>0</xdr:row>
      <xdr:rowOff>62278</xdr:rowOff>
    </xdr:from>
    <xdr:ext cx="467360" cy="590013"/>
    <xdr:pic>
      <xdr:nvPicPr>
        <xdr:cNvPr id="3" name="Grafik 2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3431" y="62278"/>
          <a:ext cx="467360" cy="590013"/>
        </a:xfrm>
        <a:prstGeom prst="rect">
          <a:avLst/>
        </a:prstGeom>
      </xdr:spPr>
    </xdr:pic>
    <xdr:clientData/>
  </xdr:oneCellAnchor>
  <xdr:oneCellAnchor>
    <xdr:from>
      <xdr:col>25</xdr:col>
      <xdr:colOff>460131</xdr:colOff>
      <xdr:row>0</xdr:row>
      <xdr:rowOff>62278</xdr:rowOff>
    </xdr:from>
    <xdr:ext cx="467360" cy="590013"/>
    <xdr:pic>
      <xdr:nvPicPr>
        <xdr:cNvPr id="4" name="Grafik 3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3431" y="62278"/>
          <a:ext cx="467360" cy="590013"/>
        </a:xfrm>
        <a:prstGeom prst="rect">
          <a:avLst/>
        </a:prstGeom>
      </xdr:spPr>
    </xdr:pic>
    <xdr:clientData/>
  </xdr:oneCellAnchor>
  <xdr:oneCellAnchor>
    <xdr:from>
      <xdr:col>34</xdr:col>
      <xdr:colOff>460131</xdr:colOff>
      <xdr:row>0</xdr:row>
      <xdr:rowOff>62278</xdr:rowOff>
    </xdr:from>
    <xdr:ext cx="467360" cy="590013"/>
    <xdr:pic>
      <xdr:nvPicPr>
        <xdr:cNvPr id="5" name="Grafik 4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3431" y="62278"/>
          <a:ext cx="467360" cy="590013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1113693</xdr:colOff>
      <xdr:row>0</xdr:row>
      <xdr:rowOff>57149</xdr:rowOff>
    </xdr:from>
    <xdr:to>
      <xdr:col>6</xdr:col>
      <xdr:colOff>1581053</xdr:colOff>
      <xdr:row>3</xdr:row>
      <xdr:rowOff>160654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30462" y="57149"/>
          <a:ext cx="467360" cy="587082"/>
        </a:xfrm>
        <a:prstGeom prst="rect">
          <a:avLst/>
        </a:prstGeom>
      </xdr:spPr>
    </xdr:pic>
    <xdr:clientData/>
  </xdr:twoCellAnchor>
  <xdr:oneCellAnchor>
    <xdr:from>
      <xdr:col>14</xdr:col>
      <xdr:colOff>1157655</xdr:colOff>
      <xdr:row>0</xdr:row>
      <xdr:rowOff>57149</xdr:rowOff>
    </xdr:from>
    <xdr:ext cx="467360" cy="587082"/>
    <xdr:pic>
      <xdr:nvPicPr>
        <xdr:cNvPr id="3" name="Grafik 2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1443" y="57149"/>
          <a:ext cx="467360" cy="587082"/>
        </a:xfrm>
        <a:prstGeom prst="rect">
          <a:avLst/>
        </a:prstGeom>
      </xdr:spPr>
    </xdr:pic>
    <xdr:clientData/>
  </xdr:oneCellAnchor>
  <xdr:oneCellAnchor>
    <xdr:from>
      <xdr:col>22</xdr:col>
      <xdr:colOff>1150328</xdr:colOff>
      <xdr:row>0</xdr:row>
      <xdr:rowOff>49822</xdr:rowOff>
    </xdr:from>
    <xdr:ext cx="467360" cy="587082"/>
    <xdr:pic>
      <xdr:nvPicPr>
        <xdr:cNvPr id="4" name="Grafik 3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801136" y="49822"/>
          <a:ext cx="467360" cy="587082"/>
        </a:xfrm>
        <a:prstGeom prst="rect">
          <a:avLst/>
        </a:prstGeom>
      </xdr:spPr>
    </xdr:pic>
    <xdr:clientData/>
  </xdr:oneCellAnchor>
  <xdr:oneCellAnchor>
    <xdr:from>
      <xdr:col>30</xdr:col>
      <xdr:colOff>1157654</xdr:colOff>
      <xdr:row>0</xdr:row>
      <xdr:rowOff>35169</xdr:rowOff>
    </xdr:from>
    <xdr:ext cx="467360" cy="587082"/>
    <xdr:pic>
      <xdr:nvPicPr>
        <xdr:cNvPr id="5" name="Grafik 4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25481" y="35169"/>
          <a:ext cx="467360" cy="587082"/>
        </a:xfrm>
        <a:prstGeom prst="rect">
          <a:avLst/>
        </a:prstGeom>
      </xdr:spPr>
    </xdr:pic>
    <xdr:clientData/>
  </xdr:oneCellAnchor>
  <xdr:twoCellAnchor editAs="oneCell">
    <xdr:from>
      <xdr:col>5</xdr:col>
      <xdr:colOff>219808</xdr:colOff>
      <xdr:row>12</xdr:row>
      <xdr:rowOff>7326</xdr:rowOff>
    </xdr:from>
    <xdr:to>
      <xdr:col>6</xdr:col>
      <xdr:colOff>1582264</xdr:colOff>
      <xdr:row>25</xdr:row>
      <xdr:rowOff>91146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4577" y="2344614"/>
          <a:ext cx="2124456" cy="2179320"/>
        </a:xfrm>
        <a:prstGeom prst="rect">
          <a:avLst/>
        </a:prstGeom>
      </xdr:spPr>
    </xdr:pic>
    <xdr:clientData/>
  </xdr:twoCellAnchor>
  <xdr:twoCellAnchor>
    <xdr:from>
      <xdr:col>6</xdr:col>
      <xdr:colOff>915868</xdr:colOff>
      <xdr:row>14</xdr:row>
      <xdr:rowOff>7325</xdr:rowOff>
    </xdr:from>
    <xdr:to>
      <xdr:col>6</xdr:col>
      <xdr:colOff>1311522</xdr:colOff>
      <xdr:row>15</xdr:row>
      <xdr:rowOff>29306</xdr:rowOff>
    </xdr:to>
    <xdr:sp macro="" textlink="">
      <xdr:nvSpPr>
        <xdr:cNvPr id="7" name="Textfeld 6"/>
        <xdr:cNvSpPr txBox="1"/>
      </xdr:nvSpPr>
      <xdr:spPr>
        <a:xfrm>
          <a:off x="6132637" y="2666998"/>
          <a:ext cx="395654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100</a:t>
          </a:r>
        </a:p>
      </xdr:txBody>
    </xdr:sp>
    <xdr:clientData/>
  </xdr:twoCellAnchor>
  <xdr:twoCellAnchor>
    <xdr:from>
      <xdr:col>6</xdr:col>
      <xdr:colOff>203691</xdr:colOff>
      <xdr:row>15</xdr:row>
      <xdr:rowOff>86456</xdr:rowOff>
    </xdr:from>
    <xdr:to>
      <xdr:col>6</xdr:col>
      <xdr:colOff>1047753</xdr:colOff>
      <xdr:row>16</xdr:row>
      <xdr:rowOff>108436</xdr:rowOff>
    </xdr:to>
    <xdr:sp macro="" textlink="">
      <xdr:nvSpPr>
        <xdr:cNvPr id="8" name="Textfeld 7"/>
        <xdr:cNvSpPr txBox="1"/>
      </xdr:nvSpPr>
      <xdr:spPr>
        <a:xfrm>
          <a:off x="5420460" y="2907321"/>
          <a:ext cx="844062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200399</a:t>
          </a:r>
        </a:p>
      </xdr:txBody>
    </xdr:sp>
    <xdr:clientData/>
  </xdr:twoCellAnchor>
  <xdr:twoCellAnchor>
    <xdr:from>
      <xdr:col>6</xdr:col>
      <xdr:colOff>194899</xdr:colOff>
      <xdr:row>17</xdr:row>
      <xdr:rowOff>26375</xdr:rowOff>
    </xdr:from>
    <xdr:to>
      <xdr:col>6</xdr:col>
      <xdr:colOff>1038961</xdr:colOff>
      <xdr:row>18</xdr:row>
      <xdr:rowOff>48356</xdr:rowOff>
    </xdr:to>
    <xdr:sp macro="" textlink="">
      <xdr:nvSpPr>
        <xdr:cNvPr id="9" name="Textfeld 8"/>
        <xdr:cNvSpPr txBox="1"/>
      </xdr:nvSpPr>
      <xdr:spPr>
        <a:xfrm>
          <a:off x="5411668" y="3169625"/>
          <a:ext cx="844062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3P.FA</a:t>
          </a:r>
        </a:p>
      </xdr:txBody>
    </xdr:sp>
    <xdr:clientData/>
  </xdr:twoCellAnchor>
  <xdr:twoCellAnchor>
    <xdr:from>
      <xdr:col>6</xdr:col>
      <xdr:colOff>359021</xdr:colOff>
      <xdr:row>12</xdr:row>
      <xdr:rowOff>51287</xdr:rowOff>
    </xdr:from>
    <xdr:to>
      <xdr:col>6</xdr:col>
      <xdr:colOff>1203083</xdr:colOff>
      <xdr:row>13</xdr:row>
      <xdr:rowOff>73267</xdr:rowOff>
    </xdr:to>
    <xdr:sp macro="" textlink="">
      <xdr:nvSpPr>
        <xdr:cNvPr id="10" name="Textfeld 9"/>
        <xdr:cNvSpPr txBox="1"/>
      </xdr:nvSpPr>
      <xdr:spPr>
        <a:xfrm>
          <a:off x="5575790" y="2388575"/>
          <a:ext cx="844062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27.02.2023</a:t>
          </a:r>
        </a:p>
      </xdr:txBody>
    </xdr:sp>
    <xdr:clientData/>
  </xdr:twoCellAnchor>
  <xdr:twoCellAnchor editAs="oneCell">
    <xdr:from>
      <xdr:col>13</xdr:col>
      <xdr:colOff>183173</xdr:colOff>
      <xdr:row>12</xdr:row>
      <xdr:rowOff>7327</xdr:rowOff>
    </xdr:from>
    <xdr:to>
      <xdr:col>14</xdr:col>
      <xdr:colOff>1545629</xdr:colOff>
      <xdr:row>25</xdr:row>
      <xdr:rowOff>91147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4961" y="2344615"/>
          <a:ext cx="2124456" cy="2179320"/>
        </a:xfrm>
        <a:prstGeom prst="rect">
          <a:avLst/>
        </a:prstGeom>
      </xdr:spPr>
    </xdr:pic>
    <xdr:clientData/>
  </xdr:twoCellAnchor>
  <xdr:twoCellAnchor>
    <xdr:from>
      <xdr:col>14</xdr:col>
      <xdr:colOff>879233</xdr:colOff>
      <xdr:row>14</xdr:row>
      <xdr:rowOff>7326</xdr:rowOff>
    </xdr:from>
    <xdr:to>
      <xdr:col>14</xdr:col>
      <xdr:colOff>1274887</xdr:colOff>
      <xdr:row>15</xdr:row>
      <xdr:rowOff>29307</xdr:rowOff>
    </xdr:to>
    <xdr:sp macro="" textlink="">
      <xdr:nvSpPr>
        <xdr:cNvPr id="12" name="Textfeld 11"/>
        <xdr:cNvSpPr txBox="1"/>
      </xdr:nvSpPr>
      <xdr:spPr>
        <a:xfrm>
          <a:off x="13313021" y="2666999"/>
          <a:ext cx="395654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100</a:t>
          </a:r>
        </a:p>
      </xdr:txBody>
    </xdr:sp>
    <xdr:clientData/>
  </xdr:twoCellAnchor>
  <xdr:twoCellAnchor>
    <xdr:from>
      <xdr:col>14</xdr:col>
      <xdr:colOff>167056</xdr:colOff>
      <xdr:row>15</xdr:row>
      <xdr:rowOff>86457</xdr:rowOff>
    </xdr:from>
    <xdr:to>
      <xdr:col>14</xdr:col>
      <xdr:colOff>1011118</xdr:colOff>
      <xdr:row>16</xdr:row>
      <xdr:rowOff>108437</xdr:rowOff>
    </xdr:to>
    <xdr:sp macro="" textlink="">
      <xdr:nvSpPr>
        <xdr:cNvPr id="13" name="Textfeld 12"/>
        <xdr:cNvSpPr txBox="1"/>
      </xdr:nvSpPr>
      <xdr:spPr>
        <a:xfrm>
          <a:off x="12600844" y="2907322"/>
          <a:ext cx="844062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200399</a:t>
          </a:r>
        </a:p>
      </xdr:txBody>
    </xdr:sp>
    <xdr:clientData/>
  </xdr:twoCellAnchor>
  <xdr:twoCellAnchor>
    <xdr:from>
      <xdr:col>14</xdr:col>
      <xdr:colOff>158264</xdr:colOff>
      <xdr:row>17</xdr:row>
      <xdr:rowOff>26376</xdr:rowOff>
    </xdr:from>
    <xdr:to>
      <xdr:col>14</xdr:col>
      <xdr:colOff>1002326</xdr:colOff>
      <xdr:row>18</xdr:row>
      <xdr:rowOff>48357</xdr:rowOff>
    </xdr:to>
    <xdr:sp macro="" textlink="">
      <xdr:nvSpPr>
        <xdr:cNvPr id="14" name="Textfeld 13"/>
        <xdr:cNvSpPr txBox="1"/>
      </xdr:nvSpPr>
      <xdr:spPr>
        <a:xfrm>
          <a:off x="12592052" y="3169626"/>
          <a:ext cx="844062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3P.FA</a:t>
          </a:r>
        </a:p>
      </xdr:txBody>
    </xdr:sp>
    <xdr:clientData/>
  </xdr:twoCellAnchor>
  <xdr:twoCellAnchor>
    <xdr:from>
      <xdr:col>14</xdr:col>
      <xdr:colOff>322386</xdr:colOff>
      <xdr:row>12</xdr:row>
      <xdr:rowOff>51288</xdr:rowOff>
    </xdr:from>
    <xdr:to>
      <xdr:col>14</xdr:col>
      <xdr:colOff>1166448</xdr:colOff>
      <xdr:row>13</xdr:row>
      <xdr:rowOff>73268</xdr:rowOff>
    </xdr:to>
    <xdr:sp macro="" textlink="">
      <xdr:nvSpPr>
        <xdr:cNvPr id="15" name="Textfeld 14"/>
        <xdr:cNvSpPr txBox="1"/>
      </xdr:nvSpPr>
      <xdr:spPr>
        <a:xfrm>
          <a:off x="12756174" y="2388576"/>
          <a:ext cx="844062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19.05.2023</a:t>
          </a:r>
        </a:p>
      </xdr:txBody>
    </xdr:sp>
    <xdr:clientData/>
  </xdr:twoCellAnchor>
  <xdr:twoCellAnchor editAs="oneCell">
    <xdr:from>
      <xdr:col>21</xdr:col>
      <xdr:colOff>219807</xdr:colOff>
      <xdr:row>11</xdr:row>
      <xdr:rowOff>161192</xdr:rowOff>
    </xdr:from>
    <xdr:to>
      <xdr:col>22</xdr:col>
      <xdr:colOff>1582263</xdr:colOff>
      <xdr:row>25</xdr:row>
      <xdr:rowOff>83820</xdr:rowOff>
    </xdr:to>
    <xdr:pic>
      <xdr:nvPicPr>
        <xdr:cNvPr id="16" name="Grafik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08615" y="2337288"/>
          <a:ext cx="2124456" cy="2179320"/>
        </a:xfrm>
        <a:prstGeom prst="rect">
          <a:avLst/>
        </a:prstGeom>
      </xdr:spPr>
    </xdr:pic>
    <xdr:clientData/>
  </xdr:twoCellAnchor>
  <xdr:twoCellAnchor>
    <xdr:from>
      <xdr:col>22</xdr:col>
      <xdr:colOff>915867</xdr:colOff>
      <xdr:row>13</xdr:row>
      <xdr:rowOff>161191</xdr:rowOff>
    </xdr:from>
    <xdr:to>
      <xdr:col>22</xdr:col>
      <xdr:colOff>1311521</xdr:colOff>
      <xdr:row>15</xdr:row>
      <xdr:rowOff>21980</xdr:rowOff>
    </xdr:to>
    <xdr:sp macro="" textlink="">
      <xdr:nvSpPr>
        <xdr:cNvPr id="17" name="Textfeld 16"/>
        <xdr:cNvSpPr txBox="1"/>
      </xdr:nvSpPr>
      <xdr:spPr>
        <a:xfrm>
          <a:off x="20566675" y="2659672"/>
          <a:ext cx="395654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100</a:t>
          </a:r>
        </a:p>
      </xdr:txBody>
    </xdr:sp>
    <xdr:clientData/>
  </xdr:twoCellAnchor>
  <xdr:twoCellAnchor>
    <xdr:from>
      <xdr:col>22</xdr:col>
      <xdr:colOff>203690</xdr:colOff>
      <xdr:row>15</xdr:row>
      <xdr:rowOff>79130</xdr:rowOff>
    </xdr:from>
    <xdr:to>
      <xdr:col>22</xdr:col>
      <xdr:colOff>1047752</xdr:colOff>
      <xdr:row>16</xdr:row>
      <xdr:rowOff>101110</xdr:rowOff>
    </xdr:to>
    <xdr:sp macro="" textlink="">
      <xdr:nvSpPr>
        <xdr:cNvPr id="18" name="Textfeld 17"/>
        <xdr:cNvSpPr txBox="1"/>
      </xdr:nvSpPr>
      <xdr:spPr>
        <a:xfrm>
          <a:off x="19854498" y="2899995"/>
          <a:ext cx="844062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200399</a:t>
          </a:r>
        </a:p>
      </xdr:txBody>
    </xdr:sp>
    <xdr:clientData/>
  </xdr:twoCellAnchor>
  <xdr:twoCellAnchor>
    <xdr:from>
      <xdr:col>22</xdr:col>
      <xdr:colOff>194898</xdr:colOff>
      <xdr:row>17</xdr:row>
      <xdr:rowOff>19049</xdr:rowOff>
    </xdr:from>
    <xdr:to>
      <xdr:col>22</xdr:col>
      <xdr:colOff>1038960</xdr:colOff>
      <xdr:row>18</xdr:row>
      <xdr:rowOff>41030</xdr:rowOff>
    </xdr:to>
    <xdr:sp macro="" textlink="">
      <xdr:nvSpPr>
        <xdr:cNvPr id="19" name="Textfeld 18"/>
        <xdr:cNvSpPr txBox="1"/>
      </xdr:nvSpPr>
      <xdr:spPr>
        <a:xfrm>
          <a:off x="19845706" y="3162299"/>
          <a:ext cx="844062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3P.FA</a:t>
          </a:r>
        </a:p>
      </xdr:txBody>
    </xdr:sp>
    <xdr:clientData/>
  </xdr:twoCellAnchor>
  <xdr:twoCellAnchor>
    <xdr:from>
      <xdr:col>22</xdr:col>
      <xdr:colOff>359020</xdr:colOff>
      <xdr:row>12</xdr:row>
      <xdr:rowOff>43961</xdr:rowOff>
    </xdr:from>
    <xdr:to>
      <xdr:col>22</xdr:col>
      <xdr:colOff>1203082</xdr:colOff>
      <xdr:row>13</xdr:row>
      <xdr:rowOff>65941</xdr:rowOff>
    </xdr:to>
    <xdr:sp macro="" textlink="">
      <xdr:nvSpPr>
        <xdr:cNvPr id="20" name="Textfeld 19"/>
        <xdr:cNvSpPr txBox="1"/>
      </xdr:nvSpPr>
      <xdr:spPr>
        <a:xfrm>
          <a:off x="20009828" y="2381249"/>
          <a:ext cx="844062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28.08.2023</a:t>
          </a:r>
        </a:p>
      </xdr:txBody>
    </xdr:sp>
    <xdr:clientData/>
  </xdr:twoCellAnchor>
  <xdr:twoCellAnchor editAs="oneCell">
    <xdr:from>
      <xdr:col>29</xdr:col>
      <xdr:colOff>234462</xdr:colOff>
      <xdr:row>11</xdr:row>
      <xdr:rowOff>161192</xdr:rowOff>
    </xdr:from>
    <xdr:to>
      <xdr:col>30</xdr:col>
      <xdr:colOff>1596918</xdr:colOff>
      <xdr:row>25</xdr:row>
      <xdr:rowOff>83820</xdr:rowOff>
    </xdr:to>
    <xdr:pic>
      <xdr:nvPicPr>
        <xdr:cNvPr id="21" name="Grafik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40289" y="2337288"/>
          <a:ext cx="2124456" cy="2179320"/>
        </a:xfrm>
        <a:prstGeom prst="rect">
          <a:avLst/>
        </a:prstGeom>
      </xdr:spPr>
    </xdr:pic>
    <xdr:clientData/>
  </xdr:twoCellAnchor>
  <xdr:twoCellAnchor>
    <xdr:from>
      <xdr:col>30</xdr:col>
      <xdr:colOff>930522</xdr:colOff>
      <xdr:row>13</xdr:row>
      <xdr:rowOff>161191</xdr:rowOff>
    </xdr:from>
    <xdr:to>
      <xdr:col>30</xdr:col>
      <xdr:colOff>1326176</xdr:colOff>
      <xdr:row>15</xdr:row>
      <xdr:rowOff>21980</xdr:rowOff>
    </xdr:to>
    <xdr:sp macro="" textlink="">
      <xdr:nvSpPr>
        <xdr:cNvPr id="22" name="Textfeld 21"/>
        <xdr:cNvSpPr txBox="1"/>
      </xdr:nvSpPr>
      <xdr:spPr>
        <a:xfrm>
          <a:off x="27798349" y="2659672"/>
          <a:ext cx="395654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100</a:t>
          </a:r>
        </a:p>
      </xdr:txBody>
    </xdr:sp>
    <xdr:clientData/>
  </xdr:twoCellAnchor>
  <xdr:twoCellAnchor>
    <xdr:from>
      <xdr:col>30</xdr:col>
      <xdr:colOff>218345</xdr:colOff>
      <xdr:row>15</xdr:row>
      <xdr:rowOff>79130</xdr:rowOff>
    </xdr:from>
    <xdr:to>
      <xdr:col>30</xdr:col>
      <xdr:colOff>1062407</xdr:colOff>
      <xdr:row>16</xdr:row>
      <xdr:rowOff>101110</xdr:rowOff>
    </xdr:to>
    <xdr:sp macro="" textlink="">
      <xdr:nvSpPr>
        <xdr:cNvPr id="23" name="Textfeld 22"/>
        <xdr:cNvSpPr txBox="1"/>
      </xdr:nvSpPr>
      <xdr:spPr>
        <a:xfrm>
          <a:off x="27086172" y="2899995"/>
          <a:ext cx="844062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200399</a:t>
          </a:r>
        </a:p>
      </xdr:txBody>
    </xdr:sp>
    <xdr:clientData/>
  </xdr:twoCellAnchor>
  <xdr:twoCellAnchor>
    <xdr:from>
      <xdr:col>30</xdr:col>
      <xdr:colOff>209553</xdr:colOff>
      <xdr:row>17</xdr:row>
      <xdr:rowOff>19049</xdr:rowOff>
    </xdr:from>
    <xdr:to>
      <xdr:col>30</xdr:col>
      <xdr:colOff>1053615</xdr:colOff>
      <xdr:row>18</xdr:row>
      <xdr:rowOff>41030</xdr:rowOff>
    </xdr:to>
    <xdr:sp macro="" textlink="">
      <xdr:nvSpPr>
        <xdr:cNvPr id="24" name="Textfeld 23"/>
        <xdr:cNvSpPr txBox="1"/>
      </xdr:nvSpPr>
      <xdr:spPr>
        <a:xfrm>
          <a:off x="27077380" y="3162299"/>
          <a:ext cx="844062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3P.FA</a:t>
          </a:r>
        </a:p>
      </xdr:txBody>
    </xdr:sp>
    <xdr:clientData/>
  </xdr:twoCellAnchor>
  <xdr:twoCellAnchor>
    <xdr:from>
      <xdr:col>30</xdr:col>
      <xdr:colOff>373675</xdr:colOff>
      <xdr:row>12</xdr:row>
      <xdr:rowOff>43961</xdr:rowOff>
    </xdr:from>
    <xdr:to>
      <xdr:col>30</xdr:col>
      <xdr:colOff>1217737</xdr:colOff>
      <xdr:row>13</xdr:row>
      <xdr:rowOff>65941</xdr:rowOff>
    </xdr:to>
    <xdr:sp macro="" textlink="">
      <xdr:nvSpPr>
        <xdr:cNvPr id="25" name="Textfeld 24"/>
        <xdr:cNvSpPr txBox="1"/>
      </xdr:nvSpPr>
      <xdr:spPr>
        <a:xfrm>
          <a:off x="27241502" y="2381249"/>
          <a:ext cx="844062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24.11.2023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0"/>
  <sheetViews>
    <sheetView workbookViewId="0">
      <selection activeCell="B7" sqref="B7:E7"/>
    </sheetView>
  </sheetViews>
  <sheetFormatPr baseColWidth="10" defaultRowHeight="12.75" x14ac:dyDescent="0.2"/>
  <sheetData>
    <row r="1" spans="1:8" x14ac:dyDescent="0.2">
      <c r="A1" s="82" t="s">
        <v>194</v>
      </c>
    </row>
    <row r="2" spans="1:8" x14ac:dyDescent="0.2">
      <c r="A2" t="s">
        <v>195</v>
      </c>
    </row>
    <row r="5" spans="1:8" ht="26.25" x14ac:dyDescent="0.2">
      <c r="A5" s="93" t="s">
        <v>360</v>
      </c>
      <c r="B5" s="79"/>
      <c r="C5" s="78"/>
      <c r="D5" s="77"/>
    </row>
    <row r="7" spans="1:8" ht="15" x14ac:dyDescent="0.2">
      <c r="A7" s="146" t="s">
        <v>359</v>
      </c>
    </row>
    <row r="9" spans="1:8" x14ac:dyDescent="0.2">
      <c r="A9" s="196" t="s">
        <v>231</v>
      </c>
      <c r="B9" s="197"/>
      <c r="C9" s="197"/>
      <c r="D9" s="197"/>
      <c r="E9" s="197"/>
      <c r="F9" s="197"/>
      <c r="G9" s="197"/>
      <c r="H9" s="197"/>
    </row>
    <row r="10" spans="1:8" x14ac:dyDescent="0.2">
      <c r="A10" s="197"/>
      <c r="B10" s="197"/>
      <c r="C10" s="197"/>
      <c r="D10" s="197"/>
      <c r="E10" s="197"/>
      <c r="F10" s="197"/>
      <c r="G10" s="197"/>
      <c r="H10" s="197"/>
    </row>
    <row r="11" spans="1:8" x14ac:dyDescent="0.2">
      <c r="A11" s="198"/>
      <c r="B11" s="198"/>
      <c r="C11" s="198"/>
      <c r="D11" s="198"/>
      <c r="E11" s="198"/>
      <c r="F11" s="198"/>
      <c r="G11" s="198"/>
      <c r="H11" s="198"/>
    </row>
    <row r="13" spans="1:8" x14ac:dyDescent="0.2">
      <c r="A13" s="199" t="s">
        <v>232</v>
      </c>
      <c r="B13" s="200"/>
      <c r="C13" s="200"/>
      <c r="D13" s="200"/>
      <c r="E13" s="200"/>
      <c r="F13" s="200"/>
      <c r="G13" s="200"/>
      <c r="H13" s="200"/>
    </row>
    <row r="14" spans="1:8" x14ac:dyDescent="0.2">
      <c r="A14" s="200"/>
      <c r="B14" s="200"/>
      <c r="C14" s="200"/>
      <c r="D14" s="200"/>
      <c r="E14" s="200"/>
      <c r="F14" s="200"/>
      <c r="G14" s="200"/>
      <c r="H14" s="200"/>
    </row>
    <row r="15" spans="1:8" x14ac:dyDescent="0.2">
      <c r="A15" s="200"/>
      <c r="B15" s="200"/>
      <c r="C15" s="200"/>
      <c r="D15" s="200"/>
      <c r="E15" s="200"/>
      <c r="F15" s="200"/>
      <c r="G15" s="200"/>
      <c r="H15" s="200"/>
    </row>
    <row r="17" spans="1:8" x14ac:dyDescent="0.2">
      <c r="A17" s="201" t="s">
        <v>233</v>
      </c>
      <c r="B17" s="201"/>
      <c r="C17" s="201"/>
      <c r="D17" s="201"/>
      <c r="E17" s="201"/>
      <c r="F17" s="201"/>
      <c r="G17" s="201"/>
      <c r="H17" s="201"/>
    </row>
    <row r="18" spans="1:8" x14ac:dyDescent="0.2">
      <c r="A18" s="201"/>
      <c r="B18" s="201"/>
      <c r="C18" s="201"/>
      <c r="D18" s="201"/>
      <c r="E18" s="201"/>
      <c r="F18" s="201"/>
      <c r="G18" s="201"/>
      <c r="H18" s="201"/>
    </row>
    <row r="19" spans="1:8" x14ac:dyDescent="0.2">
      <c r="A19" s="201"/>
      <c r="B19" s="201"/>
      <c r="C19" s="201"/>
      <c r="D19" s="201"/>
      <c r="E19" s="201"/>
      <c r="F19" s="201"/>
      <c r="G19" s="201"/>
      <c r="H19" s="201"/>
    </row>
    <row r="20" spans="1:8" x14ac:dyDescent="0.2">
      <c r="A20" s="202"/>
      <c r="B20" s="202"/>
      <c r="C20" s="202"/>
      <c r="D20" s="202"/>
      <c r="E20" s="202"/>
      <c r="F20" s="202"/>
      <c r="G20" s="202"/>
      <c r="H20" s="202"/>
    </row>
  </sheetData>
  <mergeCells count="3">
    <mergeCell ref="A9:H11"/>
    <mergeCell ref="A13:H15"/>
    <mergeCell ref="A17:H20"/>
  </mergeCells>
  <pageMargins left="0.51181102362204722" right="0.51181102362204722" top="0.39370078740157483" bottom="0.3937007874015748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43"/>
  <sheetViews>
    <sheetView topLeftCell="L1" zoomScale="130" zoomScaleNormal="130" workbookViewId="0">
      <selection activeCell="B7" sqref="B7:E7"/>
    </sheetView>
  </sheetViews>
  <sheetFormatPr baseColWidth="10" defaultRowHeight="12.75" x14ac:dyDescent="0.2"/>
  <cols>
    <col min="1" max="1" width="20.5703125" bestFit="1" customWidth="1"/>
    <col min="3" max="3" width="29.42578125" customWidth="1"/>
    <col min="4" max="4" width="5.5703125" customWidth="1"/>
    <col min="5" max="5" width="13.85546875" customWidth="1"/>
    <col min="6" max="6" width="4.28515625" customWidth="1"/>
    <col min="7" max="7" width="20.5703125" bestFit="1" customWidth="1"/>
    <col min="9" max="9" width="29.42578125" customWidth="1"/>
    <col min="10" max="10" width="5.5703125" customWidth="1"/>
    <col min="11" max="11" width="13.85546875" customWidth="1"/>
    <col min="12" max="12" width="4.28515625" customWidth="1"/>
    <col min="13" max="13" width="20.5703125" bestFit="1" customWidth="1"/>
    <col min="15" max="15" width="29.42578125" customWidth="1"/>
    <col min="16" max="16" width="5.5703125" customWidth="1"/>
    <col min="17" max="17" width="13.85546875" customWidth="1"/>
    <col min="18" max="18" width="4.28515625" customWidth="1"/>
    <col min="19" max="19" width="20.5703125" bestFit="1" customWidth="1"/>
    <col min="21" max="21" width="29.42578125" customWidth="1"/>
    <col min="22" max="22" width="5.5703125" customWidth="1"/>
    <col min="23" max="23" width="13.85546875" customWidth="1"/>
  </cols>
  <sheetData>
    <row r="1" spans="1:23" x14ac:dyDescent="0.2">
      <c r="A1" s="82" t="s">
        <v>194</v>
      </c>
      <c r="F1" s="121"/>
      <c r="G1" s="82" t="s">
        <v>194</v>
      </c>
      <c r="L1" s="121"/>
      <c r="M1" s="82" t="s">
        <v>194</v>
      </c>
      <c r="R1" s="121"/>
      <c r="S1" s="82" t="s">
        <v>194</v>
      </c>
    </row>
    <row r="2" spans="1:23" x14ac:dyDescent="0.2">
      <c r="A2" t="s">
        <v>195</v>
      </c>
      <c r="F2" s="121"/>
      <c r="G2" t="s">
        <v>195</v>
      </c>
      <c r="L2" s="121"/>
      <c r="M2" t="s">
        <v>195</v>
      </c>
      <c r="R2" s="121"/>
      <c r="S2" t="s">
        <v>195</v>
      </c>
    </row>
    <row r="3" spans="1:23" x14ac:dyDescent="0.2">
      <c r="F3" s="121"/>
      <c r="L3" s="121"/>
      <c r="R3" s="121"/>
    </row>
    <row r="4" spans="1:23" x14ac:dyDescent="0.2">
      <c r="F4" s="121"/>
      <c r="L4" s="121"/>
      <c r="R4" s="121"/>
    </row>
    <row r="5" spans="1:23" ht="26.25" x14ac:dyDescent="0.2">
      <c r="A5" s="120" t="s">
        <v>376</v>
      </c>
      <c r="B5" s="3"/>
      <c r="C5" s="3"/>
      <c r="D5" s="3"/>
      <c r="F5" s="121"/>
      <c r="G5" s="120" t="s">
        <v>376</v>
      </c>
      <c r="H5" s="3"/>
      <c r="I5" s="3"/>
      <c r="J5" s="3"/>
      <c r="L5" s="121"/>
      <c r="M5" s="120" t="s">
        <v>376</v>
      </c>
      <c r="N5" s="3"/>
      <c r="O5" s="3"/>
      <c r="P5" s="3"/>
      <c r="R5" s="121"/>
      <c r="S5" s="120" t="s">
        <v>376</v>
      </c>
      <c r="T5" s="3"/>
      <c r="U5" s="3"/>
      <c r="V5" s="3"/>
    </row>
    <row r="6" spans="1:23" ht="18" x14ac:dyDescent="0.25">
      <c r="A6" s="100" t="s">
        <v>225</v>
      </c>
      <c r="B6" s="3"/>
      <c r="C6" s="3"/>
      <c r="D6" s="3"/>
      <c r="F6" s="121"/>
      <c r="G6" s="100" t="s">
        <v>225</v>
      </c>
      <c r="H6" s="3"/>
      <c r="I6" s="3"/>
      <c r="J6" s="3"/>
      <c r="L6" s="121"/>
      <c r="M6" s="100" t="s">
        <v>225</v>
      </c>
      <c r="N6" s="3"/>
      <c r="O6" s="3"/>
      <c r="P6" s="3"/>
      <c r="R6" s="121"/>
      <c r="S6" s="100" t="s">
        <v>225</v>
      </c>
      <c r="T6" s="3"/>
      <c r="U6" s="3"/>
      <c r="V6" s="3"/>
    </row>
    <row r="7" spans="1:23" ht="12.75" customHeight="1" x14ac:dyDescent="0.2">
      <c r="A7" s="3"/>
      <c r="B7" s="3"/>
      <c r="C7" s="3"/>
      <c r="D7" s="3"/>
      <c r="F7" s="121"/>
      <c r="G7" s="3"/>
      <c r="H7" s="3"/>
      <c r="I7" s="3"/>
      <c r="J7" s="3"/>
      <c r="L7" s="121"/>
      <c r="M7" s="3"/>
      <c r="N7" s="3"/>
      <c r="O7" s="3"/>
      <c r="P7" s="3"/>
      <c r="R7" s="121"/>
      <c r="S7" s="3"/>
      <c r="T7" s="3"/>
      <c r="U7" s="3"/>
      <c r="V7" s="3"/>
    </row>
    <row r="8" spans="1:23" ht="12.75" customHeight="1" x14ac:dyDescent="0.2">
      <c r="A8" s="205" t="s">
        <v>226</v>
      </c>
      <c r="B8" s="205"/>
      <c r="C8" s="205"/>
      <c r="D8" s="202"/>
      <c r="E8" s="202"/>
      <c r="F8" s="121"/>
      <c r="G8" s="205" t="s">
        <v>228</v>
      </c>
      <c r="H8" s="205"/>
      <c r="I8" s="205"/>
      <c r="J8" s="202"/>
      <c r="K8" s="202"/>
      <c r="L8" s="121"/>
      <c r="M8" s="205" t="s">
        <v>229</v>
      </c>
      <c r="N8" s="205"/>
      <c r="O8" s="205"/>
      <c r="P8" s="202"/>
      <c r="Q8" s="202"/>
      <c r="R8" s="121"/>
      <c r="S8" s="205" t="s">
        <v>230</v>
      </c>
      <c r="T8" s="205"/>
      <c r="U8" s="205"/>
      <c r="V8" s="202"/>
      <c r="W8" s="202"/>
    </row>
    <row r="9" spans="1:23" ht="12.75" customHeight="1" x14ac:dyDescent="0.2">
      <c r="A9" s="202"/>
      <c r="B9" s="202"/>
      <c r="C9" s="202"/>
      <c r="D9" s="202"/>
      <c r="E9" s="202"/>
      <c r="F9" s="121"/>
      <c r="G9" s="202"/>
      <c r="H9" s="202"/>
      <c r="I9" s="202"/>
      <c r="J9" s="202"/>
      <c r="K9" s="202"/>
      <c r="L9" s="121"/>
      <c r="M9" s="202"/>
      <c r="N9" s="202"/>
      <c r="O9" s="202"/>
      <c r="P9" s="202"/>
      <c r="Q9" s="202"/>
      <c r="R9" s="121"/>
      <c r="S9" s="202"/>
      <c r="T9" s="202"/>
      <c r="U9" s="202"/>
      <c r="V9" s="202"/>
      <c r="W9" s="202"/>
    </row>
    <row r="10" spans="1:23" ht="12.75" customHeight="1" x14ac:dyDescent="0.2">
      <c r="A10" s="202"/>
      <c r="B10" s="202"/>
      <c r="C10" s="202"/>
      <c r="D10" s="202"/>
      <c r="E10" s="202"/>
      <c r="F10" s="121"/>
      <c r="G10" s="202"/>
      <c r="H10" s="202"/>
      <c r="I10" s="202"/>
      <c r="J10" s="202"/>
      <c r="K10" s="202"/>
      <c r="L10" s="121"/>
      <c r="M10" s="202"/>
      <c r="N10" s="202"/>
      <c r="O10" s="202"/>
      <c r="P10" s="202"/>
      <c r="Q10" s="202"/>
      <c r="R10" s="121"/>
      <c r="S10" s="202"/>
      <c r="T10" s="202"/>
      <c r="U10" s="202"/>
      <c r="V10" s="202"/>
      <c r="W10" s="202"/>
    </row>
    <row r="11" spans="1:23" ht="12.75" customHeight="1" x14ac:dyDescent="0.25">
      <c r="A11" s="135"/>
      <c r="B11" s="135"/>
      <c r="C11" s="135"/>
      <c r="D11" s="3"/>
      <c r="F11" s="121"/>
      <c r="G11" s="135"/>
      <c r="H11" s="135"/>
      <c r="I11" s="135"/>
      <c r="J11" s="3"/>
      <c r="L11" s="121"/>
      <c r="M11" s="135"/>
      <c r="N11" s="135"/>
      <c r="O11" s="135"/>
      <c r="P11" s="3"/>
      <c r="R11" s="121"/>
      <c r="S11" s="135"/>
      <c r="T11" s="135"/>
      <c r="U11" s="135"/>
      <c r="V11" s="3"/>
    </row>
    <row r="12" spans="1:23" ht="12.75" customHeight="1" x14ac:dyDescent="0.2">
      <c r="A12" s="206" t="s">
        <v>385</v>
      </c>
      <c r="B12" s="206"/>
      <c r="C12" s="206"/>
      <c r="D12" s="207"/>
      <c r="E12" s="207"/>
      <c r="F12" s="121"/>
      <c r="G12" s="206" t="s">
        <v>386</v>
      </c>
      <c r="H12" s="206"/>
      <c r="I12" s="206"/>
      <c r="J12" s="207"/>
      <c r="K12" s="207"/>
      <c r="L12" s="121"/>
      <c r="M12" s="206" t="s">
        <v>387</v>
      </c>
      <c r="N12" s="206"/>
      <c r="O12" s="206"/>
      <c r="P12" s="207"/>
      <c r="Q12" s="207"/>
      <c r="R12" s="121"/>
      <c r="S12" s="206" t="s">
        <v>388</v>
      </c>
      <c r="T12" s="206"/>
      <c r="U12" s="206"/>
      <c r="V12" s="207"/>
      <c r="W12" s="207"/>
    </row>
    <row r="13" spans="1:23" ht="12.75" customHeight="1" x14ac:dyDescent="0.2">
      <c r="A13" s="207"/>
      <c r="B13" s="207"/>
      <c r="C13" s="207"/>
      <c r="D13" s="207"/>
      <c r="E13" s="207"/>
      <c r="F13" s="121"/>
      <c r="G13" s="207"/>
      <c r="H13" s="207"/>
      <c r="I13" s="207"/>
      <c r="J13" s="207"/>
      <c r="K13" s="207"/>
      <c r="L13" s="121"/>
      <c r="M13" s="207"/>
      <c r="N13" s="207"/>
      <c r="O13" s="207"/>
      <c r="P13" s="207"/>
      <c r="Q13" s="207"/>
      <c r="R13" s="121"/>
      <c r="S13" s="207"/>
      <c r="T13" s="207"/>
      <c r="U13" s="207"/>
      <c r="V13" s="207"/>
      <c r="W13" s="207"/>
    </row>
    <row r="14" spans="1:23" ht="12.75" customHeight="1" x14ac:dyDescent="0.2">
      <c r="A14" s="134"/>
      <c r="B14" s="134"/>
      <c r="C14" s="134"/>
      <c r="D14" s="3"/>
      <c r="F14" s="121"/>
      <c r="G14" s="134"/>
      <c r="H14" s="134"/>
      <c r="I14" s="134"/>
      <c r="J14" s="3"/>
      <c r="L14" s="121"/>
      <c r="M14" s="134"/>
      <c r="N14" s="134"/>
      <c r="O14" s="134"/>
      <c r="P14" s="3"/>
      <c r="R14" s="121"/>
      <c r="S14" s="134"/>
      <c r="T14" s="134"/>
      <c r="U14" s="134"/>
      <c r="V14" s="3"/>
    </row>
    <row r="15" spans="1:23" ht="12.75" customHeight="1" x14ac:dyDescent="0.2">
      <c r="A15" s="203" t="s">
        <v>268</v>
      </c>
      <c r="B15" s="204"/>
      <c r="C15" s="204"/>
      <c r="D15" s="3" t="s">
        <v>227</v>
      </c>
      <c r="E15" s="143">
        <f>Auszahlungen!C83</f>
        <v>28762800</v>
      </c>
      <c r="F15" s="121"/>
      <c r="G15" s="203" t="s">
        <v>263</v>
      </c>
      <c r="H15" s="204"/>
      <c r="I15" s="204"/>
      <c r="J15" s="3" t="s">
        <v>227</v>
      </c>
      <c r="K15" s="143">
        <f>Auszahlungen!L83</f>
        <v>28762800</v>
      </c>
      <c r="L15" s="121"/>
      <c r="M15" s="203" t="s">
        <v>258</v>
      </c>
      <c r="N15" s="204"/>
      <c r="O15" s="204"/>
      <c r="P15" s="3" t="s">
        <v>227</v>
      </c>
      <c r="Q15" s="143">
        <f>Auszahlungen!U83</f>
        <v>28762800</v>
      </c>
      <c r="R15" s="121"/>
      <c r="S15" s="203" t="s">
        <v>253</v>
      </c>
      <c r="T15" s="204"/>
      <c r="U15" s="204"/>
      <c r="V15" s="3" t="s">
        <v>227</v>
      </c>
      <c r="W15" s="143">
        <f>Auszahlungen!AD83</f>
        <v>28760900</v>
      </c>
    </row>
    <row r="16" spans="1:23" ht="12.75" customHeight="1" x14ac:dyDescent="0.2">
      <c r="A16" s="204"/>
      <c r="B16" s="204"/>
      <c r="C16" s="204"/>
      <c r="D16" s="3"/>
      <c r="E16" s="143"/>
      <c r="F16" s="121"/>
      <c r="G16" s="204"/>
      <c r="H16" s="204"/>
      <c r="I16" s="204"/>
      <c r="J16" s="3"/>
      <c r="K16" s="143"/>
      <c r="L16" s="121"/>
      <c r="M16" s="204"/>
      <c r="N16" s="204"/>
      <c r="O16" s="204"/>
      <c r="P16" s="3"/>
      <c r="Q16" s="143"/>
      <c r="R16" s="121"/>
      <c r="S16" s="204"/>
      <c r="T16" s="204"/>
      <c r="U16" s="204"/>
      <c r="V16" s="3"/>
      <c r="W16" s="143"/>
    </row>
    <row r="17" spans="1:23" ht="12.75" customHeight="1" x14ac:dyDescent="0.2">
      <c r="A17" s="179"/>
      <c r="B17" s="179"/>
      <c r="C17" s="179"/>
      <c r="D17" s="3"/>
      <c r="E17" s="143"/>
      <c r="F17" s="121"/>
      <c r="G17" s="179"/>
      <c r="H17" s="179"/>
      <c r="I17" s="179"/>
      <c r="J17" s="3"/>
      <c r="K17" s="143"/>
      <c r="L17" s="121"/>
      <c r="M17" s="179"/>
      <c r="N17" s="179"/>
      <c r="O17" s="179"/>
      <c r="P17" s="3"/>
      <c r="Q17" s="143"/>
      <c r="R17" s="121"/>
      <c r="S17" s="179"/>
      <c r="T17" s="179"/>
      <c r="U17" s="179"/>
      <c r="V17" s="3"/>
      <c r="W17" s="143"/>
    </row>
    <row r="18" spans="1:23" ht="12.75" customHeight="1" x14ac:dyDescent="0.2">
      <c r="A18" s="203" t="s">
        <v>269</v>
      </c>
      <c r="B18" s="204"/>
      <c r="C18" s="204"/>
      <c r="D18" s="3" t="s">
        <v>227</v>
      </c>
      <c r="E18" s="143">
        <f>Auszahlungen!D83</f>
        <v>9404200</v>
      </c>
      <c r="F18" s="121"/>
      <c r="G18" s="203" t="s">
        <v>264</v>
      </c>
      <c r="H18" s="204"/>
      <c r="I18" s="204"/>
      <c r="J18" s="3" t="s">
        <v>227</v>
      </c>
      <c r="K18" s="143">
        <f>Auszahlungen!M83</f>
        <v>9404200</v>
      </c>
      <c r="L18" s="121"/>
      <c r="M18" s="203" t="s">
        <v>259</v>
      </c>
      <c r="N18" s="204"/>
      <c r="O18" s="204"/>
      <c r="P18" s="3" t="s">
        <v>227</v>
      </c>
      <c r="Q18" s="143">
        <f>Auszahlungen!V83</f>
        <v>9404200</v>
      </c>
      <c r="R18" s="121"/>
      <c r="S18" s="203" t="s">
        <v>254</v>
      </c>
      <c r="T18" s="204"/>
      <c r="U18" s="204"/>
      <c r="V18" s="3" t="s">
        <v>227</v>
      </c>
      <c r="W18" s="143">
        <f>Auszahlungen!AE83</f>
        <v>9400700</v>
      </c>
    </row>
    <row r="19" spans="1:23" ht="12.75" customHeight="1" x14ac:dyDescent="0.2">
      <c r="A19" s="204"/>
      <c r="B19" s="204"/>
      <c r="C19" s="204"/>
      <c r="D19" s="3"/>
      <c r="E19" s="143"/>
      <c r="F19" s="121"/>
      <c r="G19" s="204"/>
      <c r="H19" s="204"/>
      <c r="I19" s="204"/>
      <c r="J19" s="3"/>
      <c r="K19" s="143"/>
      <c r="L19" s="121"/>
      <c r="M19" s="204"/>
      <c r="N19" s="204"/>
      <c r="O19" s="204"/>
      <c r="P19" s="3"/>
      <c r="Q19" s="143"/>
      <c r="R19" s="121"/>
      <c r="S19" s="204"/>
      <c r="T19" s="204"/>
      <c r="U19" s="204"/>
      <c r="V19" s="3"/>
      <c r="W19" s="143"/>
    </row>
    <row r="20" spans="1:23" ht="12.75" customHeight="1" x14ac:dyDescent="0.2">
      <c r="A20" s="179"/>
      <c r="B20" s="179"/>
      <c r="C20" s="179"/>
      <c r="D20" s="3"/>
      <c r="E20" s="143"/>
      <c r="F20" s="121"/>
      <c r="G20" s="179"/>
      <c r="H20" s="179"/>
      <c r="I20" s="179"/>
      <c r="J20" s="3"/>
      <c r="K20" s="143"/>
      <c r="L20" s="121"/>
      <c r="M20" s="179"/>
      <c r="N20" s="179"/>
      <c r="O20" s="179"/>
      <c r="P20" s="3"/>
      <c r="Q20" s="143"/>
      <c r="R20" s="121"/>
      <c r="S20" s="179"/>
      <c r="T20" s="179"/>
      <c r="U20" s="179"/>
      <c r="V20" s="3"/>
      <c r="W20" s="143"/>
    </row>
    <row r="21" spans="1:23" ht="12.75" customHeight="1" x14ac:dyDescent="0.2">
      <c r="A21" s="203" t="s">
        <v>270</v>
      </c>
      <c r="B21" s="204"/>
      <c r="C21" s="204"/>
      <c r="D21" s="3" t="s">
        <v>227</v>
      </c>
      <c r="E21" s="143">
        <f>Auszahlungen!E83</f>
        <v>7682600</v>
      </c>
      <c r="F21" s="121"/>
      <c r="G21" s="203" t="s">
        <v>265</v>
      </c>
      <c r="H21" s="204"/>
      <c r="I21" s="204"/>
      <c r="J21" s="3" t="s">
        <v>227</v>
      </c>
      <c r="K21" s="143">
        <f>Auszahlungen!N83</f>
        <v>7682600</v>
      </c>
      <c r="L21" s="121"/>
      <c r="M21" s="203" t="s">
        <v>260</v>
      </c>
      <c r="N21" s="204"/>
      <c r="O21" s="204"/>
      <c r="P21" s="3" t="s">
        <v>227</v>
      </c>
      <c r="Q21" s="143">
        <f>Auszahlungen!W83</f>
        <v>7682600</v>
      </c>
      <c r="R21" s="121"/>
      <c r="S21" s="203" t="s">
        <v>255</v>
      </c>
      <c r="T21" s="204"/>
      <c r="U21" s="204"/>
      <c r="V21" s="3" t="s">
        <v>227</v>
      </c>
      <c r="W21" s="143">
        <f>Auszahlungen!AF83</f>
        <v>7679000</v>
      </c>
    </row>
    <row r="22" spans="1:23" ht="12.75" customHeight="1" x14ac:dyDescent="0.2">
      <c r="A22" s="204"/>
      <c r="B22" s="204"/>
      <c r="C22" s="204"/>
      <c r="D22" s="3"/>
      <c r="E22" s="143"/>
      <c r="F22" s="121"/>
      <c r="G22" s="204"/>
      <c r="H22" s="204"/>
      <c r="I22" s="204"/>
      <c r="J22" s="3"/>
      <c r="L22" s="121"/>
      <c r="M22" s="204"/>
      <c r="N22" s="204"/>
      <c r="O22" s="204"/>
      <c r="P22" s="3"/>
      <c r="R22" s="121"/>
      <c r="S22" s="204"/>
      <c r="T22" s="204"/>
      <c r="U22" s="204"/>
      <c r="V22" s="3"/>
    </row>
    <row r="23" spans="1:23" ht="12.75" customHeight="1" x14ac:dyDescent="0.2">
      <c r="A23" s="179"/>
      <c r="B23" s="179"/>
      <c r="C23" s="179"/>
      <c r="D23" s="3"/>
      <c r="E23" s="143"/>
      <c r="F23" s="121"/>
      <c r="G23" s="179"/>
      <c r="H23" s="179"/>
      <c r="I23" s="179"/>
      <c r="J23" s="3"/>
      <c r="K23" s="143"/>
      <c r="L23" s="121"/>
      <c r="M23" s="179"/>
      <c r="N23" s="179"/>
      <c r="O23" s="179"/>
      <c r="P23" s="3"/>
      <c r="Q23" s="143"/>
      <c r="R23" s="121"/>
      <c r="S23" s="179"/>
      <c r="T23" s="179"/>
      <c r="U23" s="179"/>
      <c r="V23" s="3"/>
      <c r="W23" s="143"/>
    </row>
    <row r="24" spans="1:23" ht="12.75" customHeight="1" x14ac:dyDescent="0.2">
      <c r="A24" s="203" t="s">
        <v>271</v>
      </c>
      <c r="B24" s="204"/>
      <c r="C24" s="204"/>
      <c r="D24" s="3" t="s">
        <v>227</v>
      </c>
      <c r="E24" s="143">
        <f>Auszahlungen!F83</f>
        <v>6625000</v>
      </c>
      <c r="F24" s="121"/>
      <c r="G24" s="203" t="s">
        <v>266</v>
      </c>
      <c r="H24" s="204"/>
      <c r="I24" s="204"/>
      <c r="J24" s="3" t="s">
        <v>227</v>
      </c>
      <c r="K24" s="143">
        <f>Auszahlungen!O83</f>
        <v>6625000</v>
      </c>
      <c r="L24" s="121"/>
      <c r="M24" s="203" t="s">
        <v>261</v>
      </c>
      <c r="N24" s="204"/>
      <c r="O24" s="204"/>
      <c r="P24" s="3" t="s">
        <v>227</v>
      </c>
      <c r="Q24" s="143">
        <f>Auszahlungen!X83</f>
        <v>6625000</v>
      </c>
      <c r="R24" s="121"/>
      <c r="S24" s="203" t="s">
        <v>256</v>
      </c>
      <c r="T24" s="204"/>
      <c r="U24" s="204"/>
      <c r="V24" s="3" t="s">
        <v>227</v>
      </c>
      <c r="W24" s="143">
        <f>Auszahlungen!AG83</f>
        <v>6622800</v>
      </c>
    </row>
    <row r="25" spans="1:23" ht="12.75" customHeight="1" x14ac:dyDescent="0.2">
      <c r="A25" s="204"/>
      <c r="B25" s="204"/>
      <c r="C25" s="204"/>
      <c r="D25" s="3"/>
      <c r="E25" s="143"/>
      <c r="F25" s="121"/>
      <c r="G25" s="204"/>
      <c r="H25" s="204"/>
      <c r="I25" s="204"/>
      <c r="J25" s="3"/>
      <c r="K25" s="143"/>
      <c r="L25" s="121"/>
      <c r="M25" s="204"/>
      <c r="N25" s="204"/>
      <c r="O25" s="204"/>
      <c r="P25" s="3"/>
      <c r="Q25" s="143"/>
      <c r="R25" s="121"/>
      <c r="S25" s="204"/>
      <c r="T25" s="204"/>
      <c r="U25" s="204"/>
      <c r="V25" s="3"/>
      <c r="W25" s="143"/>
    </row>
    <row r="26" spans="1:23" ht="12.75" customHeight="1" x14ac:dyDescent="0.2">
      <c r="A26" s="179"/>
      <c r="B26" s="179"/>
      <c r="C26" s="179"/>
      <c r="D26" s="3"/>
      <c r="E26" s="143"/>
      <c r="F26" s="121"/>
      <c r="G26" s="179"/>
      <c r="H26" s="179"/>
      <c r="I26" s="179"/>
      <c r="J26" s="3"/>
      <c r="K26" s="143"/>
      <c r="L26" s="121"/>
      <c r="M26" s="179"/>
      <c r="N26" s="179"/>
      <c r="O26" s="179"/>
      <c r="P26" s="3"/>
      <c r="Q26" s="143"/>
      <c r="R26" s="121"/>
      <c r="S26" s="179"/>
      <c r="T26" s="179"/>
      <c r="U26" s="179"/>
      <c r="V26" s="3"/>
      <c r="W26" s="143"/>
    </row>
    <row r="27" spans="1:23" ht="12.75" customHeight="1" x14ac:dyDescent="0.2">
      <c r="A27" s="203" t="s">
        <v>272</v>
      </c>
      <c r="B27" s="204"/>
      <c r="C27" s="204"/>
      <c r="D27" s="3" t="s">
        <v>227</v>
      </c>
      <c r="E27" s="143">
        <f>Auszahlungen!G83</f>
        <v>4204500</v>
      </c>
      <c r="F27" s="121"/>
      <c r="G27" s="203" t="s">
        <v>267</v>
      </c>
      <c r="H27" s="204"/>
      <c r="I27" s="204"/>
      <c r="J27" s="3" t="s">
        <v>227</v>
      </c>
      <c r="K27" s="143">
        <f>Auszahlungen!P83</f>
        <v>4204500</v>
      </c>
      <c r="L27" s="121"/>
      <c r="M27" s="203" t="s">
        <v>262</v>
      </c>
      <c r="N27" s="204"/>
      <c r="O27" s="204"/>
      <c r="P27" s="3" t="s">
        <v>227</v>
      </c>
      <c r="Q27" s="143">
        <f>Auszahlungen!Y83</f>
        <v>4204500</v>
      </c>
      <c r="R27" s="121"/>
      <c r="S27" s="203" t="s">
        <v>257</v>
      </c>
      <c r="T27" s="204"/>
      <c r="U27" s="204"/>
      <c r="V27" s="3" t="s">
        <v>227</v>
      </c>
      <c r="W27" s="143">
        <f>Auszahlungen!AH83</f>
        <v>4204600</v>
      </c>
    </row>
    <row r="28" spans="1:23" ht="12.75" customHeight="1" x14ac:dyDescent="0.2">
      <c r="A28" s="204"/>
      <c r="B28" s="204"/>
      <c r="C28" s="204"/>
      <c r="D28" s="3"/>
      <c r="E28" s="143"/>
      <c r="F28" s="121"/>
      <c r="G28" s="204"/>
      <c r="H28" s="204"/>
      <c r="I28" s="204"/>
      <c r="J28" s="3"/>
      <c r="K28" s="143"/>
      <c r="L28" s="121"/>
      <c r="M28" s="204"/>
      <c r="N28" s="204"/>
      <c r="O28" s="204"/>
      <c r="P28" s="3"/>
      <c r="Q28" s="143"/>
      <c r="R28" s="121"/>
      <c r="S28" s="204"/>
      <c r="T28" s="204"/>
      <c r="U28" s="204"/>
      <c r="V28" s="3"/>
      <c r="W28" s="143"/>
    </row>
    <row r="29" spans="1:23" ht="12.75" customHeight="1" x14ac:dyDescent="0.2">
      <c r="A29" s="136"/>
      <c r="B29" s="137"/>
      <c r="C29" s="138"/>
      <c r="D29" s="142"/>
      <c r="E29" s="144"/>
      <c r="F29" s="121"/>
      <c r="G29" s="136"/>
      <c r="H29" s="137"/>
      <c r="I29" s="138"/>
      <c r="J29" s="142"/>
      <c r="K29" s="144"/>
      <c r="L29" s="121"/>
      <c r="M29" s="136"/>
      <c r="N29" s="137"/>
      <c r="O29" s="138"/>
      <c r="P29" s="142"/>
      <c r="Q29" s="144"/>
      <c r="R29" s="121"/>
      <c r="S29" s="136"/>
      <c r="T29" s="137"/>
      <c r="U29" s="138"/>
      <c r="V29" s="142"/>
      <c r="W29" s="144"/>
    </row>
    <row r="30" spans="1:23" ht="12.75" customHeight="1" x14ac:dyDescent="0.2">
      <c r="A30" s="139" t="s">
        <v>79</v>
      </c>
      <c r="B30" s="140"/>
      <c r="C30" s="141"/>
      <c r="D30" s="21" t="s">
        <v>227</v>
      </c>
      <c r="E30" s="145">
        <f>Auszahlungen!H83</f>
        <v>56679100</v>
      </c>
      <c r="F30" s="121"/>
      <c r="G30" s="139" t="s">
        <v>79</v>
      </c>
      <c r="H30" s="140"/>
      <c r="I30" s="141"/>
      <c r="J30" s="21" t="s">
        <v>227</v>
      </c>
      <c r="K30" s="145">
        <f>Auszahlungen!Q83</f>
        <v>56679100</v>
      </c>
      <c r="L30" s="121"/>
      <c r="M30" s="139" t="s">
        <v>79</v>
      </c>
      <c r="N30" s="140"/>
      <c r="O30" s="141"/>
      <c r="P30" s="21" t="s">
        <v>227</v>
      </c>
      <c r="Q30" s="145">
        <f>Auszahlungen!Z83</f>
        <v>56679100</v>
      </c>
      <c r="R30" s="121"/>
      <c r="S30" s="139" t="s">
        <v>79</v>
      </c>
      <c r="T30" s="140"/>
      <c r="U30" s="141"/>
      <c r="V30" s="21" t="s">
        <v>227</v>
      </c>
      <c r="W30" s="145">
        <f>Auszahlungen!AI83</f>
        <v>56668000</v>
      </c>
    </row>
    <row r="31" spans="1:23" ht="12.75" customHeight="1" x14ac:dyDescent="0.2">
      <c r="A31" s="3"/>
      <c r="B31" s="3"/>
      <c r="C31" s="3"/>
      <c r="D31" s="3"/>
      <c r="E31" s="83"/>
      <c r="F31" s="83"/>
      <c r="G31" s="38"/>
      <c r="H31" s="38"/>
      <c r="I31" s="38"/>
      <c r="J31" s="38"/>
      <c r="K31" s="83"/>
      <c r="L31" s="83"/>
      <c r="M31" s="38"/>
      <c r="N31" s="38"/>
      <c r="O31" s="38"/>
      <c r="P31" s="38"/>
      <c r="Q31" s="83"/>
      <c r="S31" s="38"/>
      <c r="T31" s="38"/>
      <c r="U31" s="38"/>
      <c r="V31" s="38"/>
      <c r="W31" s="83"/>
    </row>
    <row r="32" spans="1:23" ht="12.75" customHeight="1" x14ac:dyDescent="0.2">
      <c r="A32" s="3"/>
      <c r="B32" s="3"/>
      <c r="C32" s="3"/>
      <c r="D32" s="3"/>
      <c r="E32" s="83"/>
      <c r="F32" s="83"/>
      <c r="G32" s="38"/>
      <c r="H32" s="38"/>
      <c r="I32" s="38"/>
      <c r="J32" s="38"/>
      <c r="K32" s="83"/>
      <c r="L32" s="83"/>
      <c r="M32" s="38"/>
      <c r="N32" s="38"/>
      <c r="O32" s="38"/>
      <c r="P32" s="38"/>
      <c r="Q32" s="83"/>
      <c r="S32" s="38"/>
      <c r="T32" s="38"/>
      <c r="U32" s="38"/>
      <c r="V32" s="38"/>
      <c r="W32" s="83"/>
    </row>
    <row r="33" spans="1:23" ht="12.75" customHeight="1" x14ac:dyDescent="0.2">
      <c r="A33" s="3"/>
      <c r="B33" s="3"/>
      <c r="C33" s="3"/>
      <c r="D33" s="3"/>
      <c r="E33" s="83"/>
      <c r="F33" s="83"/>
      <c r="G33" s="38"/>
      <c r="H33" s="38"/>
      <c r="I33" s="38"/>
      <c r="J33" s="38"/>
      <c r="K33" s="83"/>
      <c r="L33" s="83"/>
      <c r="M33" s="38"/>
      <c r="N33" s="38"/>
      <c r="O33" s="38"/>
      <c r="P33" s="38"/>
      <c r="Q33" s="83"/>
      <c r="S33" s="38"/>
      <c r="T33" s="38"/>
      <c r="U33" s="38"/>
      <c r="V33" s="38"/>
      <c r="W33" s="83"/>
    </row>
    <row r="34" spans="1:23" ht="12.75" customHeight="1" x14ac:dyDescent="0.2">
      <c r="F34" s="83"/>
      <c r="G34" s="38"/>
      <c r="H34" s="38"/>
      <c r="I34" s="38"/>
      <c r="J34" s="38"/>
      <c r="K34" s="83"/>
      <c r="L34" s="83"/>
      <c r="M34" s="38"/>
      <c r="N34" s="38"/>
      <c r="O34" s="38"/>
      <c r="P34" s="38"/>
      <c r="Q34" s="83"/>
      <c r="S34" s="38"/>
      <c r="T34" s="38"/>
      <c r="U34" s="38"/>
      <c r="V34" s="38"/>
      <c r="W34" s="83"/>
    </row>
    <row r="35" spans="1:23" ht="12.75" customHeight="1" x14ac:dyDescent="0.2">
      <c r="F35" s="83"/>
      <c r="G35" s="38"/>
      <c r="H35" s="38"/>
      <c r="I35" s="38"/>
      <c r="J35" s="38"/>
      <c r="K35" s="83"/>
      <c r="L35" s="83"/>
      <c r="M35" s="38"/>
      <c r="N35" s="38"/>
      <c r="O35" s="38"/>
      <c r="P35" s="38"/>
      <c r="Q35" s="83"/>
      <c r="S35" s="38"/>
      <c r="T35" s="38"/>
      <c r="U35" s="38"/>
      <c r="V35" s="38"/>
      <c r="W35" s="83"/>
    </row>
    <row r="36" spans="1:23" ht="12.75" customHeight="1" x14ac:dyDescent="0.2">
      <c r="D36" s="3"/>
      <c r="E36" s="83"/>
      <c r="F36" s="83"/>
      <c r="G36" s="38"/>
      <c r="H36" s="38"/>
      <c r="I36" s="38"/>
      <c r="J36" s="38"/>
      <c r="K36" s="83"/>
      <c r="L36" s="83"/>
      <c r="M36" s="38"/>
      <c r="N36" s="38"/>
      <c r="O36" s="38"/>
      <c r="P36" s="38"/>
      <c r="Q36" s="83"/>
      <c r="S36" s="38"/>
      <c r="T36" s="38"/>
      <c r="U36" s="38"/>
      <c r="V36" s="38"/>
      <c r="W36" s="83"/>
    </row>
    <row r="37" spans="1:23" ht="12.75" customHeight="1" x14ac:dyDescent="0.2">
      <c r="D37" s="3"/>
      <c r="E37" s="83"/>
      <c r="F37" s="83"/>
      <c r="G37" s="38"/>
      <c r="H37" s="38"/>
      <c r="I37" s="38"/>
      <c r="J37" s="38"/>
      <c r="K37" s="83"/>
      <c r="L37" s="83"/>
      <c r="M37" s="38"/>
      <c r="N37" s="38"/>
      <c r="O37" s="38"/>
      <c r="P37" s="38"/>
      <c r="Q37" s="83"/>
      <c r="S37" s="38"/>
      <c r="T37" s="38"/>
      <c r="U37" s="38"/>
      <c r="V37" s="38"/>
      <c r="W37" s="83"/>
    </row>
    <row r="38" spans="1:23" ht="12.75" customHeight="1" x14ac:dyDescent="0.2">
      <c r="A38" s="3"/>
      <c r="B38" s="3"/>
      <c r="C38" s="3"/>
      <c r="D38" s="3"/>
      <c r="E38" s="83"/>
      <c r="F38" s="83"/>
      <c r="G38" s="38"/>
      <c r="H38" s="38"/>
      <c r="I38" s="38"/>
      <c r="J38" s="38"/>
      <c r="K38" s="83"/>
      <c r="L38" s="83"/>
      <c r="M38" s="38"/>
      <c r="N38" s="38"/>
      <c r="O38" s="38"/>
      <c r="P38" s="38"/>
      <c r="Q38" s="83"/>
      <c r="S38" s="38"/>
      <c r="T38" s="38"/>
      <c r="U38" s="38"/>
      <c r="V38" s="38"/>
      <c r="W38" s="83"/>
    </row>
    <row r="39" spans="1:23" ht="12.75" customHeight="1" x14ac:dyDescent="0.2">
      <c r="A39" s="3"/>
      <c r="B39" s="3"/>
      <c r="C39" s="3"/>
      <c r="D39" s="3"/>
      <c r="E39" s="83"/>
      <c r="F39" s="83"/>
      <c r="G39" s="38"/>
      <c r="H39" s="38"/>
      <c r="I39" s="38"/>
      <c r="J39" s="38"/>
      <c r="K39" s="83"/>
      <c r="L39" s="83"/>
      <c r="M39" s="38"/>
      <c r="N39" s="38"/>
      <c r="O39" s="38"/>
      <c r="P39" s="38"/>
      <c r="Q39" s="83"/>
      <c r="S39" s="38"/>
      <c r="T39" s="38"/>
      <c r="U39" s="38"/>
      <c r="V39" s="38"/>
      <c r="W39" s="83"/>
    </row>
    <row r="40" spans="1:23" ht="12.75" customHeight="1" x14ac:dyDescent="0.2">
      <c r="A40" s="3"/>
      <c r="B40" s="3"/>
      <c r="C40" s="3"/>
      <c r="D40" s="3"/>
      <c r="E40" s="83"/>
      <c r="F40" s="83"/>
      <c r="G40" s="38"/>
      <c r="H40" s="38"/>
      <c r="I40" s="38"/>
      <c r="J40" s="38"/>
      <c r="K40" s="83"/>
      <c r="L40" s="83"/>
      <c r="M40" s="38"/>
      <c r="N40" s="38"/>
      <c r="O40" s="38"/>
      <c r="P40" s="38"/>
      <c r="Q40" s="83"/>
      <c r="S40" s="38"/>
      <c r="T40" s="38"/>
      <c r="U40" s="38"/>
      <c r="V40" s="38"/>
      <c r="W40" s="83"/>
    </row>
    <row r="41" spans="1:23" ht="12.75" customHeight="1" x14ac:dyDescent="0.2">
      <c r="A41" s="3"/>
      <c r="B41" s="3"/>
      <c r="C41" s="3"/>
      <c r="D41" s="3"/>
      <c r="E41" s="83"/>
      <c r="F41" s="83"/>
      <c r="G41" s="38"/>
      <c r="H41" s="38"/>
      <c r="I41" s="38"/>
      <c r="J41" s="38"/>
      <c r="K41" s="83"/>
      <c r="L41" s="83"/>
      <c r="M41" s="38"/>
      <c r="N41" s="38"/>
      <c r="O41" s="38"/>
      <c r="P41" s="38"/>
      <c r="Q41" s="83"/>
      <c r="S41" s="38"/>
      <c r="T41" s="38"/>
      <c r="U41" s="38"/>
      <c r="V41" s="38"/>
      <c r="W41" s="83"/>
    </row>
    <row r="42" spans="1:23" x14ac:dyDescent="0.2">
      <c r="A42" s="3"/>
      <c r="B42" s="5"/>
      <c r="C42" s="5"/>
      <c r="D42" s="5"/>
      <c r="E42" s="83"/>
      <c r="F42" s="83"/>
      <c r="G42" s="38"/>
      <c r="H42" s="5"/>
      <c r="I42" s="5"/>
      <c r="J42" s="5"/>
      <c r="K42" s="83"/>
      <c r="L42" s="83"/>
      <c r="M42" s="38"/>
      <c r="N42" s="5"/>
      <c r="O42" s="5"/>
      <c r="P42" s="5"/>
      <c r="Q42" s="83"/>
      <c r="S42" s="38"/>
      <c r="T42" s="5"/>
      <c r="U42" s="5"/>
      <c r="V42" s="5"/>
      <c r="W42" s="83"/>
    </row>
    <row r="43" spans="1:23" x14ac:dyDescent="0.2"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S43" s="83"/>
      <c r="T43" s="83"/>
      <c r="U43" s="83"/>
      <c r="V43" s="83"/>
      <c r="W43" s="83"/>
    </row>
  </sheetData>
  <mergeCells count="28">
    <mergeCell ref="A21:C22"/>
    <mergeCell ref="A24:C25"/>
    <mergeCell ref="A27:C28"/>
    <mergeCell ref="G8:K10"/>
    <mergeCell ref="G12:K13"/>
    <mergeCell ref="G15:I16"/>
    <mergeCell ref="G18:I19"/>
    <mergeCell ref="G21:I22"/>
    <mergeCell ref="G24:I25"/>
    <mergeCell ref="G27:I28"/>
    <mergeCell ref="A8:E10"/>
    <mergeCell ref="A12:E13"/>
    <mergeCell ref="A15:C16"/>
    <mergeCell ref="A18:C19"/>
    <mergeCell ref="M27:O28"/>
    <mergeCell ref="S8:W10"/>
    <mergeCell ref="S12:W13"/>
    <mergeCell ref="S15:U16"/>
    <mergeCell ref="S18:U19"/>
    <mergeCell ref="S21:U22"/>
    <mergeCell ref="S24:U25"/>
    <mergeCell ref="S27:U28"/>
    <mergeCell ref="M8:Q10"/>
    <mergeCell ref="M12:Q13"/>
    <mergeCell ref="M15:O16"/>
    <mergeCell ref="M18:O19"/>
    <mergeCell ref="M21:O22"/>
    <mergeCell ref="M24:O25"/>
  </mergeCells>
  <pageMargins left="0.51181102362204722" right="0.51181102362204722" top="0.39370078740157483" bottom="0.39370078740157483" header="0.31496062992125984" footer="0.31496062992125984"/>
  <pageSetup paperSize="9" orientation="portrait" r:id="rId1"/>
  <headerFooter>
    <oddFooter>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77"/>
  <sheetViews>
    <sheetView topLeftCell="A13" workbookViewId="0">
      <selection activeCell="B7" sqref="B7:E7"/>
    </sheetView>
  </sheetViews>
  <sheetFormatPr baseColWidth="10" defaultRowHeight="12.75" x14ac:dyDescent="0.2"/>
  <cols>
    <col min="1" max="1" width="20.5703125" bestFit="1" customWidth="1"/>
    <col min="2" max="6" width="17.7109375" customWidth="1"/>
    <col min="7" max="7" width="13.140625" bestFit="1" customWidth="1"/>
    <col min="8" max="8" width="9.42578125" bestFit="1" customWidth="1"/>
    <col min="9" max="9" width="21.85546875" bestFit="1" customWidth="1"/>
    <col min="10" max="10" width="5" bestFit="1" customWidth="1"/>
    <col min="11" max="11" width="16.42578125" bestFit="1" customWidth="1"/>
  </cols>
  <sheetData>
    <row r="1" spans="1:11" x14ac:dyDescent="0.2">
      <c r="A1" s="82" t="s">
        <v>212</v>
      </c>
      <c r="B1" s="82" t="s">
        <v>197</v>
      </c>
      <c r="C1" s="82" t="s">
        <v>198</v>
      </c>
      <c r="D1" s="82" t="s">
        <v>199</v>
      </c>
      <c r="E1" s="82" t="s">
        <v>200</v>
      </c>
      <c r="F1" s="82" t="s">
        <v>273</v>
      </c>
      <c r="G1" s="82" t="s">
        <v>79</v>
      </c>
      <c r="H1" s="82" t="s">
        <v>274</v>
      </c>
      <c r="I1" s="82" t="s">
        <v>275</v>
      </c>
      <c r="J1" s="82" t="s">
        <v>276</v>
      </c>
      <c r="K1" s="82" t="s">
        <v>277</v>
      </c>
    </row>
    <row r="2" spans="1:11" x14ac:dyDescent="0.2">
      <c r="A2" t="s">
        <v>5</v>
      </c>
      <c r="B2" s="143">
        <f>Total!C8</f>
        <v>0</v>
      </c>
      <c r="C2" s="143">
        <f>Total!D8</f>
        <v>0</v>
      </c>
      <c r="D2" s="143">
        <f>Total!E8</f>
        <v>0</v>
      </c>
      <c r="E2" s="143">
        <f>Total!F8</f>
        <v>17156400</v>
      </c>
      <c r="F2" s="143">
        <f>Total!G8</f>
        <v>16818100</v>
      </c>
      <c r="G2" s="143">
        <f>Total!H8</f>
        <v>33974500</v>
      </c>
      <c r="H2" t="s">
        <v>278</v>
      </c>
      <c r="I2" t="s">
        <v>279</v>
      </c>
      <c r="J2">
        <v>9001</v>
      </c>
      <c r="K2" t="s">
        <v>5</v>
      </c>
    </row>
    <row r="3" spans="1:11" x14ac:dyDescent="0.2">
      <c r="A3" t="s">
        <v>6</v>
      </c>
      <c r="B3" s="143">
        <f>Total!C9</f>
        <v>5246200</v>
      </c>
      <c r="C3" s="143">
        <f>Total!D9</f>
        <v>0</v>
      </c>
      <c r="D3" s="143">
        <f>Total!E9</f>
        <v>50600</v>
      </c>
      <c r="E3" s="143">
        <f>Total!F9</f>
        <v>368400</v>
      </c>
      <c r="F3" s="143">
        <f>Total!G9</f>
        <v>0</v>
      </c>
      <c r="G3" s="143">
        <f>Total!H9</f>
        <v>5665200</v>
      </c>
      <c r="H3" t="s">
        <v>212</v>
      </c>
      <c r="I3" t="s">
        <v>280</v>
      </c>
      <c r="J3">
        <v>9301</v>
      </c>
      <c r="K3" t="s">
        <v>6</v>
      </c>
    </row>
    <row r="4" spans="1:11" x14ac:dyDescent="0.2">
      <c r="A4" t="s">
        <v>7</v>
      </c>
      <c r="B4" s="143">
        <f>Total!C10</f>
        <v>647000</v>
      </c>
      <c r="C4" s="143">
        <f>Total!D10</f>
        <v>407400</v>
      </c>
      <c r="D4" s="143">
        <f>Total!E10</f>
        <v>540000</v>
      </c>
      <c r="E4" s="143">
        <f>Total!F10</f>
        <v>0</v>
      </c>
      <c r="F4" s="143">
        <f>Total!G10</f>
        <v>0</v>
      </c>
      <c r="G4" s="143">
        <f>Total!H10</f>
        <v>1594400</v>
      </c>
      <c r="H4" t="s">
        <v>212</v>
      </c>
      <c r="I4" t="s">
        <v>281</v>
      </c>
      <c r="J4">
        <v>9312</v>
      </c>
      <c r="K4" t="s">
        <v>7</v>
      </c>
    </row>
    <row r="5" spans="1:11" x14ac:dyDescent="0.2">
      <c r="A5" t="s">
        <v>8</v>
      </c>
      <c r="B5" s="143">
        <f>Total!C11</f>
        <v>928400</v>
      </c>
      <c r="C5" s="143">
        <f>Total!D11</f>
        <v>629900</v>
      </c>
      <c r="D5" s="143">
        <f>Total!E11</f>
        <v>113300</v>
      </c>
      <c r="E5" s="143">
        <f>Total!F11</f>
        <v>0</v>
      </c>
      <c r="F5" s="143">
        <f>Total!G11</f>
        <v>0</v>
      </c>
      <c r="G5" s="143">
        <f>Total!H11</f>
        <v>1671600</v>
      </c>
      <c r="H5" t="s">
        <v>212</v>
      </c>
      <c r="I5" t="s">
        <v>282</v>
      </c>
      <c r="J5">
        <v>9313</v>
      </c>
      <c r="K5" t="s">
        <v>8</v>
      </c>
    </row>
    <row r="6" spans="1:11" x14ac:dyDescent="0.2">
      <c r="A6" t="s">
        <v>9</v>
      </c>
      <c r="B6" s="143">
        <f>Total!C12</f>
        <v>0</v>
      </c>
      <c r="C6" s="143">
        <f>Total!D12</f>
        <v>0</v>
      </c>
      <c r="D6" s="143">
        <f>Total!E12</f>
        <v>0</v>
      </c>
      <c r="E6" s="143">
        <f>Total!F12</f>
        <v>0</v>
      </c>
      <c r="F6" s="143">
        <f>Total!G12</f>
        <v>0</v>
      </c>
      <c r="G6" s="143">
        <f>Total!H12</f>
        <v>0</v>
      </c>
      <c r="H6" t="s">
        <v>212</v>
      </c>
      <c r="I6" t="s">
        <v>283</v>
      </c>
      <c r="J6">
        <v>9402</v>
      </c>
      <c r="K6" t="s">
        <v>9</v>
      </c>
    </row>
    <row r="7" spans="1:11" x14ac:dyDescent="0.2">
      <c r="A7" t="s">
        <v>10</v>
      </c>
      <c r="B7" s="143">
        <f>Total!C13</f>
        <v>0</v>
      </c>
      <c r="C7" s="143">
        <f>Total!D13</f>
        <v>0</v>
      </c>
      <c r="D7" s="143">
        <f>Total!E13</f>
        <v>0</v>
      </c>
      <c r="E7" s="143">
        <f>Total!F13</f>
        <v>218600</v>
      </c>
      <c r="F7" s="143">
        <f>Total!G13</f>
        <v>0</v>
      </c>
      <c r="G7" s="143">
        <f>Total!H13</f>
        <v>218600</v>
      </c>
      <c r="H7" t="s">
        <v>212</v>
      </c>
      <c r="I7" t="s">
        <v>284</v>
      </c>
      <c r="J7">
        <v>9403</v>
      </c>
      <c r="K7" t="s">
        <v>10</v>
      </c>
    </row>
    <row r="8" spans="1:11" x14ac:dyDescent="0.2">
      <c r="A8" t="s">
        <v>11</v>
      </c>
      <c r="B8" s="143">
        <f>Total!C14</f>
        <v>0</v>
      </c>
      <c r="C8" s="143">
        <f>Total!D14</f>
        <v>0</v>
      </c>
      <c r="D8" s="143">
        <f>Total!E14</f>
        <v>0</v>
      </c>
      <c r="E8" s="143">
        <f>Total!F14</f>
        <v>0</v>
      </c>
      <c r="F8" s="143">
        <f>Total!G14</f>
        <v>0</v>
      </c>
      <c r="G8" s="143">
        <f>Total!H14</f>
        <v>0</v>
      </c>
      <c r="H8" t="s">
        <v>212</v>
      </c>
      <c r="I8" t="s">
        <v>285</v>
      </c>
      <c r="J8">
        <v>9323</v>
      </c>
      <c r="K8" t="s">
        <v>11</v>
      </c>
    </row>
    <row r="9" spans="1:11" x14ac:dyDescent="0.2">
      <c r="A9" t="s">
        <v>12</v>
      </c>
      <c r="B9" s="143">
        <f>Total!C15</f>
        <v>0</v>
      </c>
      <c r="C9" s="143">
        <f>Total!D15</f>
        <v>25000</v>
      </c>
      <c r="D9" s="143">
        <f>Total!E15</f>
        <v>18800</v>
      </c>
      <c r="E9" s="143">
        <f>Total!F15</f>
        <v>600</v>
      </c>
      <c r="F9" s="143">
        <f>Total!G15</f>
        <v>0</v>
      </c>
      <c r="G9" s="143">
        <f>Total!H15</f>
        <v>44400</v>
      </c>
      <c r="H9" t="s">
        <v>212</v>
      </c>
      <c r="I9" t="s">
        <v>286</v>
      </c>
      <c r="J9">
        <v>9305</v>
      </c>
      <c r="K9" t="s">
        <v>12</v>
      </c>
    </row>
    <row r="10" spans="1:11" x14ac:dyDescent="0.2">
      <c r="A10" t="s">
        <v>13</v>
      </c>
      <c r="B10" s="143">
        <f>Total!C16</f>
        <v>0</v>
      </c>
      <c r="C10" s="143">
        <f>Total!D16</f>
        <v>0</v>
      </c>
      <c r="D10" s="143">
        <f>Total!E16</f>
        <v>0</v>
      </c>
      <c r="E10" s="143">
        <f>Total!F16</f>
        <v>0</v>
      </c>
      <c r="F10" s="143">
        <f>Total!G16</f>
        <v>0</v>
      </c>
      <c r="G10" s="143">
        <f>Total!H16</f>
        <v>0</v>
      </c>
      <c r="H10" t="s">
        <v>212</v>
      </c>
      <c r="I10" t="s">
        <v>287</v>
      </c>
      <c r="J10">
        <v>9327</v>
      </c>
      <c r="K10" t="s">
        <v>13</v>
      </c>
    </row>
    <row r="11" spans="1:11" x14ac:dyDescent="0.2">
      <c r="A11" t="s">
        <v>14</v>
      </c>
      <c r="B11" s="143">
        <f>Total!C17</f>
        <v>155200</v>
      </c>
      <c r="C11" s="143">
        <f>Total!D17</f>
        <v>296800</v>
      </c>
      <c r="D11" s="143">
        <f>Total!E17</f>
        <v>283200</v>
      </c>
      <c r="E11" s="143">
        <f>Total!F17</f>
        <v>0</v>
      </c>
      <c r="F11" s="143">
        <f>Total!G17</f>
        <v>0</v>
      </c>
      <c r="G11" s="143">
        <f>Total!H17</f>
        <v>735200</v>
      </c>
      <c r="H11" t="s">
        <v>212</v>
      </c>
      <c r="I11" t="s">
        <v>288</v>
      </c>
      <c r="J11">
        <v>9033</v>
      </c>
      <c r="K11" t="s">
        <v>14</v>
      </c>
    </row>
    <row r="12" spans="1:11" x14ac:dyDescent="0.2">
      <c r="A12" t="s">
        <v>15</v>
      </c>
      <c r="B12" s="143">
        <f>Total!C18</f>
        <v>894600</v>
      </c>
      <c r="C12" s="143">
        <f>Total!D18</f>
        <v>640400</v>
      </c>
      <c r="D12" s="143">
        <f>Total!E18</f>
        <v>599800</v>
      </c>
      <c r="E12" s="143">
        <f>Total!F18</f>
        <v>0</v>
      </c>
      <c r="F12" s="143">
        <f>Total!G18</f>
        <v>0</v>
      </c>
      <c r="G12" s="143">
        <f>Total!H18</f>
        <v>2134800</v>
      </c>
      <c r="H12" t="s">
        <v>212</v>
      </c>
      <c r="I12" t="s">
        <v>289</v>
      </c>
      <c r="J12">
        <v>9034</v>
      </c>
      <c r="K12" t="s">
        <v>15</v>
      </c>
    </row>
    <row r="13" spans="1:11" x14ac:dyDescent="0.2">
      <c r="A13" t="s">
        <v>16</v>
      </c>
      <c r="B13" s="143">
        <f>Total!C19</f>
        <v>0</v>
      </c>
      <c r="C13" s="143">
        <f>Total!D19</f>
        <v>0</v>
      </c>
      <c r="D13" s="143">
        <f>Total!E19</f>
        <v>0</v>
      </c>
      <c r="E13" s="143">
        <f>Total!F19</f>
        <v>119300</v>
      </c>
      <c r="F13" s="143">
        <f>Total!G19</f>
        <v>0</v>
      </c>
      <c r="G13" s="143">
        <f>Total!H19</f>
        <v>119300</v>
      </c>
      <c r="H13" t="s">
        <v>212</v>
      </c>
      <c r="I13" t="s">
        <v>290</v>
      </c>
      <c r="J13">
        <v>9404</v>
      </c>
      <c r="K13" t="s">
        <v>16</v>
      </c>
    </row>
    <row r="14" spans="1:11" x14ac:dyDescent="0.2">
      <c r="A14" t="s">
        <v>17</v>
      </c>
      <c r="B14" s="143">
        <f>Total!C20</f>
        <v>4472700</v>
      </c>
      <c r="C14" s="143">
        <f>Total!D20</f>
        <v>0</v>
      </c>
      <c r="D14" s="143">
        <f>Total!E20</f>
        <v>0</v>
      </c>
      <c r="E14" s="143">
        <f>Total!F20</f>
        <v>1263800</v>
      </c>
      <c r="F14" s="143">
        <f>Total!G20</f>
        <v>0</v>
      </c>
      <c r="G14" s="143">
        <f>Total!H20</f>
        <v>5736500</v>
      </c>
      <c r="H14" t="s">
        <v>278</v>
      </c>
      <c r="I14" t="s">
        <v>291</v>
      </c>
      <c r="J14">
        <v>9400</v>
      </c>
      <c r="K14" t="s">
        <v>17</v>
      </c>
    </row>
    <row r="15" spans="1:11" x14ac:dyDescent="0.2">
      <c r="A15" t="s">
        <v>18</v>
      </c>
      <c r="B15" s="143">
        <f>Total!C21</f>
        <v>0</v>
      </c>
      <c r="C15" s="143">
        <f>Total!D21</f>
        <v>0</v>
      </c>
      <c r="D15" s="143">
        <f>Total!E21</f>
        <v>0</v>
      </c>
      <c r="E15" s="143">
        <f>Total!F21</f>
        <v>0</v>
      </c>
      <c r="F15" s="143">
        <f>Total!G21</f>
        <v>0</v>
      </c>
      <c r="G15" s="143">
        <f>Total!H21</f>
        <v>0</v>
      </c>
      <c r="H15" t="s">
        <v>212</v>
      </c>
      <c r="I15" t="s">
        <v>292</v>
      </c>
      <c r="J15">
        <v>9425</v>
      </c>
      <c r="K15" t="s">
        <v>18</v>
      </c>
    </row>
    <row r="16" spans="1:11" x14ac:dyDescent="0.2">
      <c r="A16" t="s">
        <v>19</v>
      </c>
      <c r="B16" s="143">
        <f>Total!C22</f>
        <v>815400</v>
      </c>
      <c r="C16" s="143">
        <f>Total!D22</f>
        <v>0</v>
      </c>
      <c r="D16" s="143">
        <f>Total!E22</f>
        <v>0</v>
      </c>
      <c r="E16" s="143">
        <f>Total!F22</f>
        <v>234300</v>
      </c>
      <c r="F16" s="143">
        <f>Total!G22</f>
        <v>0</v>
      </c>
      <c r="G16" s="143">
        <f>Total!H22</f>
        <v>1049700</v>
      </c>
      <c r="H16" t="s">
        <v>278</v>
      </c>
      <c r="I16" t="s">
        <v>293</v>
      </c>
      <c r="J16">
        <v>9424</v>
      </c>
      <c r="K16" t="s">
        <v>19</v>
      </c>
    </row>
    <row r="17" spans="1:11" x14ac:dyDescent="0.2">
      <c r="A17" t="s">
        <v>20</v>
      </c>
      <c r="B17" s="143">
        <f>Total!C23</f>
        <v>1807400</v>
      </c>
      <c r="C17" s="143">
        <f>Total!D23</f>
        <v>0</v>
      </c>
      <c r="D17" s="143">
        <f>Total!E23</f>
        <v>7500</v>
      </c>
      <c r="E17" s="143">
        <f>Total!F23</f>
        <v>247900</v>
      </c>
      <c r="F17" s="143">
        <f>Total!G23</f>
        <v>0</v>
      </c>
      <c r="G17" s="143">
        <f>Total!H23</f>
        <v>2062800</v>
      </c>
      <c r="H17" t="s">
        <v>212</v>
      </c>
      <c r="I17" t="s">
        <v>294</v>
      </c>
      <c r="J17">
        <v>9430</v>
      </c>
      <c r="K17" t="s">
        <v>20</v>
      </c>
    </row>
    <row r="18" spans="1:11" x14ac:dyDescent="0.2">
      <c r="A18" t="s">
        <v>21</v>
      </c>
      <c r="B18" s="143">
        <f>Total!C24</f>
        <v>0</v>
      </c>
      <c r="C18" s="143">
        <f>Total!D24</f>
        <v>0</v>
      </c>
      <c r="D18" s="143">
        <f>Total!E24</f>
        <v>0</v>
      </c>
      <c r="E18" s="143">
        <f>Total!F24</f>
        <v>310200</v>
      </c>
      <c r="F18" s="143">
        <f>Total!G24</f>
        <v>0</v>
      </c>
      <c r="G18" s="143">
        <f>Total!H24</f>
        <v>310200</v>
      </c>
      <c r="H18" t="s">
        <v>212</v>
      </c>
      <c r="I18" t="s">
        <v>295</v>
      </c>
      <c r="J18">
        <v>9434</v>
      </c>
      <c r="K18" t="s">
        <v>21</v>
      </c>
    </row>
    <row r="19" spans="1:11" x14ac:dyDescent="0.2">
      <c r="A19" t="s">
        <v>22</v>
      </c>
      <c r="B19" s="143">
        <f>Total!C25</f>
        <v>0</v>
      </c>
      <c r="C19" s="143">
        <f>Total!D25</f>
        <v>0</v>
      </c>
      <c r="D19" s="143">
        <f>Total!E25</f>
        <v>900</v>
      </c>
      <c r="E19" s="143">
        <f>Total!F25</f>
        <v>117800</v>
      </c>
      <c r="F19" s="143">
        <f>Total!G25</f>
        <v>0</v>
      </c>
      <c r="G19" s="143">
        <f>Total!H25</f>
        <v>118700</v>
      </c>
      <c r="H19" t="s">
        <v>212</v>
      </c>
      <c r="I19" t="s">
        <v>296</v>
      </c>
      <c r="J19">
        <v>9442</v>
      </c>
      <c r="K19" t="s">
        <v>22</v>
      </c>
    </row>
    <row r="20" spans="1:11" x14ac:dyDescent="0.2">
      <c r="A20" t="s">
        <v>23</v>
      </c>
      <c r="B20" s="143">
        <f>Total!C26</f>
        <v>0</v>
      </c>
      <c r="C20" s="143">
        <f>Total!D26</f>
        <v>0</v>
      </c>
      <c r="D20" s="143">
        <f>Total!E26</f>
        <v>0</v>
      </c>
      <c r="E20" s="143">
        <f>Total!F26</f>
        <v>0</v>
      </c>
      <c r="F20" s="143">
        <f>Total!G26</f>
        <v>0</v>
      </c>
      <c r="G20" s="143">
        <f>Total!H26</f>
        <v>0</v>
      </c>
      <c r="H20" t="s">
        <v>212</v>
      </c>
      <c r="I20" t="s">
        <v>297</v>
      </c>
      <c r="J20">
        <v>9436</v>
      </c>
      <c r="K20" t="s">
        <v>23</v>
      </c>
    </row>
    <row r="21" spans="1:11" x14ac:dyDescent="0.2">
      <c r="A21" t="s">
        <v>24</v>
      </c>
      <c r="B21" s="143">
        <f>Total!C27</f>
        <v>0</v>
      </c>
      <c r="C21" s="143">
        <f>Total!D27</f>
        <v>0</v>
      </c>
      <c r="D21" s="143">
        <f>Total!E27</f>
        <v>55100</v>
      </c>
      <c r="E21" s="143">
        <f>Total!F27</f>
        <v>0</v>
      </c>
      <c r="F21" s="143">
        <f>Total!G27</f>
        <v>0</v>
      </c>
      <c r="G21" s="143">
        <f>Total!H27</f>
        <v>55100</v>
      </c>
      <c r="H21" t="s">
        <v>212</v>
      </c>
      <c r="I21" t="s">
        <v>298</v>
      </c>
      <c r="J21">
        <v>9444</v>
      </c>
      <c r="K21" t="s">
        <v>24</v>
      </c>
    </row>
    <row r="22" spans="1:11" x14ac:dyDescent="0.2">
      <c r="A22" t="s">
        <v>25</v>
      </c>
      <c r="B22" s="143">
        <f>Total!C28</f>
        <v>0</v>
      </c>
      <c r="C22" s="143">
        <f>Total!D28</f>
        <v>0</v>
      </c>
      <c r="D22" s="143">
        <f>Total!E28</f>
        <v>142300</v>
      </c>
      <c r="E22" s="143">
        <f>Total!F28</f>
        <v>0</v>
      </c>
      <c r="F22" s="143">
        <f>Total!G28</f>
        <v>0</v>
      </c>
      <c r="G22" s="143">
        <f>Total!H28</f>
        <v>142300</v>
      </c>
      <c r="H22" t="s">
        <v>212</v>
      </c>
      <c r="I22" t="s">
        <v>299</v>
      </c>
      <c r="J22">
        <v>9443</v>
      </c>
      <c r="K22" t="s">
        <v>25</v>
      </c>
    </row>
    <row r="23" spans="1:11" x14ac:dyDescent="0.2">
      <c r="A23" t="s">
        <v>26</v>
      </c>
      <c r="B23" s="143">
        <f>Total!C29</f>
        <v>0</v>
      </c>
      <c r="C23" s="143">
        <f>Total!D29</f>
        <v>0</v>
      </c>
      <c r="D23" s="143">
        <f>Total!E29</f>
        <v>0</v>
      </c>
      <c r="E23" s="143">
        <f>Total!F29</f>
        <v>55000</v>
      </c>
      <c r="F23" s="143">
        <f>Total!G29</f>
        <v>0</v>
      </c>
      <c r="G23" s="143">
        <f>Total!H29</f>
        <v>55000</v>
      </c>
      <c r="H23" t="s">
        <v>212</v>
      </c>
      <c r="I23" t="s">
        <v>300</v>
      </c>
      <c r="J23">
        <v>9445</v>
      </c>
      <c r="K23" t="s">
        <v>26</v>
      </c>
    </row>
    <row r="24" spans="1:11" x14ac:dyDescent="0.2">
      <c r="A24" t="s">
        <v>27</v>
      </c>
      <c r="B24" s="143">
        <f>Total!C30</f>
        <v>713700</v>
      </c>
      <c r="C24" s="143">
        <f>Total!D30</f>
        <v>140200</v>
      </c>
      <c r="D24" s="143">
        <f>Total!E30</f>
        <v>0</v>
      </c>
      <c r="E24" s="143">
        <f>Total!F30</f>
        <v>0</v>
      </c>
      <c r="F24" s="143">
        <f>Total!G30</f>
        <v>0</v>
      </c>
      <c r="G24" s="143">
        <f>Total!H30</f>
        <v>853900</v>
      </c>
      <c r="H24" t="s">
        <v>212</v>
      </c>
      <c r="I24" t="s">
        <v>301</v>
      </c>
      <c r="J24">
        <v>9437</v>
      </c>
      <c r="K24" t="s">
        <v>27</v>
      </c>
    </row>
    <row r="25" spans="1:11" x14ac:dyDescent="0.2">
      <c r="A25" t="s">
        <v>28</v>
      </c>
      <c r="B25" s="143">
        <f>Total!C31</f>
        <v>0</v>
      </c>
      <c r="C25" s="143">
        <f>Total!D31</f>
        <v>1069900</v>
      </c>
      <c r="D25" s="143">
        <f>Total!E31</f>
        <v>0</v>
      </c>
      <c r="E25" s="143">
        <f>Total!F31</f>
        <v>98600</v>
      </c>
      <c r="F25" s="143">
        <f>Total!G31</f>
        <v>0</v>
      </c>
      <c r="G25" s="143">
        <f>Total!H31</f>
        <v>1168500</v>
      </c>
      <c r="H25" t="s">
        <v>278</v>
      </c>
      <c r="I25" t="s">
        <v>302</v>
      </c>
      <c r="J25">
        <v>9450</v>
      </c>
      <c r="K25" t="s">
        <v>28</v>
      </c>
    </row>
    <row r="26" spans="1:11" x14ac:dyDescent="0.2">
      <c r="A26" t="s">
        <v>29</v>
      </c>
      <c r="B26" s="143">
        <f>Total!C32</f>
        <v>809800</v>
      </c>
      <c r="C26" s="143">
        <f>Total!D32</f>
        <v>240700</v>
      </c>
      <c r="D26" s="143">
        <f>Total!E32</f>
        <v>240700</v>
      </c>
      <c r="E26" s="143">
        <f>Total!F32</f>
        <v>0</v>
      </c>
      <c r="F26" s="143">
        <f>Total!G32</f>
        <v>0</v>
      </c>
      <c r="G26" s="143">
        <f>Total!H32</f>
        <v>1291200</v>
      </c>
      <c r="H26" t="s">
        <v>212</v>
      </c>
      <c r="I26" t="s">
        <v>303</v>
      </c>
      <c r="J26">
        <v>9453</v>
      </c>
      <c r="K26" t="s">
        <v>29</v>
      </c>
    </row>
    <row r="27" spans="1:11" x14ac:dyDescent="0.2">
      <c r="A27" t="s">
        <v>30</v>
      </c>
      <c r="B27" s="143">
        <f>Total!C33</f>
        <v>2064700</v>
      </c>
      <c r="C27" s="143">
        <f>Total!D33</f>
        <v>1487000</v>
      </c>
      <c r="D27" s="143">
        <f>Total!E33</f>
        <v>1000100</v>
      </c>
      <c r="E27" s="143">
        <f>Total!F33</f>
        <v>0</v>
      </c>
      <c r="F27" s="143">
        <f>Total!G33</f>
        <v>0</v>
      </c>
      <c r="G27" s="143">
        <f>Total!H33</f>
        <v>4551800</v>
      </c>
      <c r="H27" t="s">
        <v>212</v>
      </c>
      <c r="I27" t="s">
        <v>304</v>
      </c>
      <c r="J27">
        <v>9463</v>
      </c>
      <c r="K27" t="s">
        <v>30</v>
      </c>
    </row>
    <row r="28" spans="1:11" x14ac:dyDescent="0.2">
      <c r="A28" t="s">
        <v>31</v>
      </c>
      <c r="B28" s="143">
        <f>Total!C34</f>
        <v>1211200</v>
      </c>
      <c r="C28" s="143">
        <f>Total!D34</f>
        <v>267300</v>
      </c>
      <c r="D28" s="143">
        <f>Total!E34</f>
        <v>542000</v>
      </c>
      <c r="E28" s="143">
        <f>Total!F34</f>
        <v>0</v>
      </c>
      <c r="F28" s="143">
        <f>Total!G34</f>
        <v>0</v>
      </c>
      <c r="G28" s="143">
        <f>Total!H34</f>
        <v>2020500</v>
      </c>
      <c r="H28" t="s">
        <v>212</v>
      </c>
      <c r="I28" t="s">
        <v>305</v>
      </c>
      <c r="J28">
        <v>9464</v>
      </c>
      <c r="K28" t="s">
        <v>31</v>
      </c>
    </row>
    <row r="29" spans="1:11" x14ac:dyDescent="0.2">
      <c r="A29" t="s">
        <v>32</v>
      </c>
      <c r="B29" s="143">
        <f>Total!C35</f>
        <v>0</v>
      </c>
      <c r="C29" s="143">
        <f>Total!D35</f>
        <v>13200</v>
      </c>
      <c r="D29" s="143">
        <f>Total!E35</f>
        <v>0</v>
      </c>
      <c r="E29" s="143">
        <f>Total!F35</f>
        <v>0</v>
      </c>
      <c r="F29" s="143">
        <f>Total!G35</f>
        <v>0</v>
      </c>
      <c r="G29" s="143">
        <f>Total!H35</f>
        <v>13200</v>
      </c>
      <c r="H29" t="s">
        <v>212</v>
      </c>
      <c r="I29" t="s">
        <v>306</v>
      </c>
      <c r="J29">
        <v>9467</v>
      </c>
      <c r="K29" t="s">
        <v>307</v>
      </c>
    </row>
    <row r="30" spans="1:11" x14ac:dyDescent="0.2">
      <c r="A30" t="s">
        <v>33</v>
      </c>
      <c r="B30" s="143">
        <f>Total!C36</f>
        <v>1769100</v>
      </c>
      <c r="C30" s="143">
        <f>Total!D36</f>
        <v>447200</v>
      </c>
      <c r="D30" s="143">
        <f>Total!E36</f>
        <v>543400</v>
      </c>
      <c r="E30" s="143">
        <f>Total!F36</f>
        <v>0</v>
      </c>
      <c r="F30" s="143">
        <f>Total!G36</f>
        <v>0</v>
      </c>
      <c r="G30" s="143">
        <f>Total!H36</f>
        <v>2759700</v>
      </c>
      <c r="H30" t="s">
        <v>212</v>
      </c>
      <c r="I30" t="s">
        <v>279</v>
      </c>
      <c r="J30">
        <v>9473</v>
      </c>
      <c r="K30" t="s">
        <v>33</v>
      </c>
    </row>
    <row r="31" spans="1:11" x14ac:dyDescent="0.2">
      <c r="A31" t="s">
        <v>34</v>
      </c>
      <c r="B31" s="143">
        <f>Total!C37</f>
        <v>2299200</v>
      </c>
      <c r="C31" s="143">
        <f>Total!D37</f>
        <v>1049400</v>
      </c>
      <c r="D31" s="143">
        <f>Total!E37</f>
        <v>808200</v>
      </c>
      <c r="E31" s="143">
        <f>Total!F37</f>
        <v>0</v>
      </c>
      <c r="F31" s="143">
        <f>Total!G37</f>
        <v>0</v>
      </c>
      <c r="G31" s="143">
        <f>Total!H37</f>
        <v>4156800</v>
      </c>
      <c r="H31" t="s">
        <v>212</v>
      </c>
      <c r="I31" t="s">
        <v>308</v>
      </c>
      <c r="J31">
        <v>9472</v>
      </c>
      <c r="K31" t="s">
        <v>34</v>
      </c>
    </row>
    <row r="32" spans="1:11" x14ac:dyDescent="0.2">
      <c r="A32" t="s">
        <v>35</v>
      </c>
      <c r="B32" s="143">
        <f>Total!C38</f>
        <v>531100</v>
      </c>
      <c r="C32" s="143">
        <f>Total!D38</f>
        <v>0</v>
      </c>
      <c r="D32" s="143">
        <f>Total!E38</f>
        <v>0</v>
      </c>
      <c r="E32" s="143">
        <f>Total!F38</f>
        <v>480900</v>
      </c>
      <c r="F32" s="143">
        <f>Total!G38</f>
        <v>0</v>
      </c>
      <c r="G32" s="143">
        <f>Total!H38</f>
        <v>1012000</v>
      </c>
      <c r="H32" t="s">
        <v>278</v>
      </c>
      <c r="I32" t="s">
        <v>309</v>
      </c>
      <c r="J32">
        <v>9471</v>
      </c>
      <c r="K32" t="s">
        <v>35</v>
      </c>
    </row>
    <row r="33" spans="1:11" x14ac:dyDescent="0.2">
      <c r="A33" t="s">
        <v>36</v>
      </c>
      <c r="B33" s="143">
        <f>Total!C39</f>
        <v>2449300</v>
      </c>
      <c r="C33" s="143">
        <f>Total!D39</f>
        <v>147900</v>
      </c>
      <c r="D33" s="143">
        <f>Total!E39</f>
        <v>642000</v>
      </c>
      <c r="E33" s="143">
        <f>Total!F39</f>
        <v>26800</v>
      </c>
      <c r="F33" s="143">
        <f>Total!G39</f>
        <v>0</v>
      </c>
      <c r="G33" s="143">
        <f>Total!H39</f>
        <v>3266000</v>
      </c>
      <c r="H33" t="s">
        <v>212</v>
      </c>
      <c r="I33" t="s">
        <v>310</v>
      </c>
      <c r="J33">
        <v>9475</v>
      </c>
      <c r="K33" t="s">
        <v>36</v>
      </c>
    </row>
    <row r="34" spans="1:11" x14ac:dyDescent="0.2">
      <c r="A34" t="s">
        <v>37</v>
      </c>
      <c r="B34" s="143">
        <f>Total!C40</f>
        <v>4068500</v>
      </c>
      <c r="C34" s="143">
        <f>Total!D40</f>
        <v>383700</v>
      </c>
      <c r="D34" s="143">
        <f>Total!E40</f>
        <v>909500</v>
      </c>
      <c r="E34" s="143">
        <f>Total!F40</f>
        <v>0</v>
      </c>
      <c r="F34" s="143">
        <f>Total!G40</f>
        <v>0</v>
      </c>
      <c r="G34" s="143">
        <f>Total!H40</f>
        <v>5361700</v>
      </c>
      <c r="H34" t="s">
        <v>212</v>
      </c>
      <c r="I34" t="s">
        <v>311</v>
      </c>
      <c r="J34">
        <v>9478</v>
      </c>
      <c r="K34" t="s">
        <v>312</v>
      </c>
    </row>
    <row r="35" spans="1:11" x14ac:dyDescent="0.2">
      <c r="A35" t="s">
        <v>38</v>
      </c>
      <c r="B35" s="143">
        <f>Total!C41</f>
        <v>2708300</v>
      </c>
      <c r="C35" s="143">
        <f>Total!D41</f>
        <v>0</v>
      </c>
      <c r="D35" s="143">
        <f>Total!E41</f>
        <v>381300</v>
      </c>
      <c r="E35" s="143">
        <f>Total!F41</f>
        <v>0</v>
      </c>
      <c r="F35" s="143">
        <f>Total!G41</f>
        <v>0</v>
      </c>
      <c r="G35" s="143">
        <f>Total!H41</f>
        <v>3089600</v>
      </c>
      <c r="H35" t="s">
        <v>212</v>
      </c>
      <c r="I35" t="s">
        <v>313</v>
      </c>
      <c r="J35">
        <v>7320</v>
      </c>
      <c r="K35" t="s">
        <v>38</v>
      </c>
    </row>
    <row r="36" spans="1:11" x14ac:dyDescent="0.2">
      <c r="A36" t="s">
        <v>39</v>
      </c>
      <c r="B36" s="143">
        <f>Total!C42</f>
        <v>2906800</v>
      </c>
      <c r="C36" s="143">
        <f>Total!D42</f>
        <v>178700</v>
      </c>
      <c r="D36" s="143">
        <f>Total!E42</f>
        <v>163400</v>
      </c>
      <c r="E36" s="143">
        <f>Total!F42</f>
        <v>0</v>
      </c>
      <c r="F36" s="143">
        <f>Total!G42</f>
        <v>0</v>
      </c>
      <c r="G36" s="143">
        <f>Total!H42</f>
        <v>3248900</v>
      </c>
      <c r="H36" t="s">
        <v>212</v>
      </c>
      <c r="I36" t="s">
        <v>314</v>
      </c>
      <c r="J36">
        <v>7323</v>
      </c>
      <c r="K36" t="s">
        <v>315</v>
      </c>
    </row>
    <row r="37" spans="1:11" x14ac:dyDescent="0.2">
      <c r="A37" t="s">
        <v>40</v>
      </c>
      <c r="B37" s="143">
        <f>Total!C43</f>
        <v>0</v>
      </c>
      <c r="C37" s="143">
        <f>Total!D43</f>
        <v>0</v>
      </c>
      <c r="D37" s="143">
        <f>Total!E43</f>
        <v>0</v>
      </c>
      <c r="E37" s="143">
        <f>Total!F43</f>
        <v>0</v>
      </c>
      <c r="F37" s="143">
        <f>Total!G43</f>
        <v>0</v>
      </c>
      <c r="G37" s="143">
        <f>Total!H43</f>
        <v>0</v>
      </c>
      <c r="H37" t="s">
        <v>212</v>
      </c>
      <c r="I37" t="s">
        <v>302</v>
      </c>
      <c r="J37">
        <v>7310</v>
      </c>
      <c r="K37" t="s">
        <v>40</v>
      </c>
    </row>
    <row r="38" spans="1:11" x14ac:dyDescent="0.2">
      <c r="A38" t="s">
        <v>41</v>
      </c>
      <c r="B38" s="143">
        <f>Total!C44</f>
        <v>1301300</v>
      </c>
      <c r="C38" s="143">
        <f>Total!D44</f>
        <v>2370900</v>
      </c>
      <c r="D38" s="143">
        <f>Total!E44</f>
        <v>40000</v>
      </c>
      <c r="E38" s="143">
        <f>Total!F44</f>
        <v>20200</v>
      </c>
      <c r="F38" s="143">
        <f>Total!G44</f>
        <v>0</v>
      </c>
      <c r="G38" s="143">
        <f>Total!H44</f>
        <v>3732400</v>
      </c>
      <c r="H38" t="s">
        <v>212</v>
      </c>
      <c r="I38" t="s">
        <v>316</v>
      </c>
      <c r="J38">
        <v>7312</v>
      </c>
      <c r="K38" t="s">
        <v>41</v>
      </c>
    </row>
    <row r="39" spans="1:11" x14ac:dyDescent="0.2">
      <c r="A39" t="s">
        <v>42</v>
      </c>
      <c r="B39" s="143">
        <f>Total!C45</f>
        <v>4638600</v>
      </c>
      <c r="C39" s="143">
        <f>Total!D45</f>
        <v>1186800</v>
      </c>
      <c r="D39" s="143">
        <f>Total!E45</f>
        <v>981000</v>
      </c>
      <c r="E39" s="143">
        <f>Total!F45</f>
        <v>0</v>
      </c>
      <c r="F39" s="143">
        <f>Total!G45</f>
        <v>0</v>
      </c>
      <c r="G39" s="143">
        <f>Total!H45</f>
        <v>6806400</v>
      </c>
      <c r="H39" t="s">
        <v>212</v>
      </c>
      <c r="I39" t="s">
        <v>317</v>
      </c>
      <c r="J39">
        <v>8887</v>
      </c>
      <c r="K39" t="s">
        <v>42</v>
      </c>
    </row>
    <row r="40" spans="1:11" x14ac:dyDescent="0.2">
      <c r="A40" t="s">
        <v>43</v>
      </c>
      <c r="B40" s="143">
        <f>Total!C46</f>
        <v>2823100</v>
      </c>
      <c r="C40" s="143">
        <f>Total!D46</f>
        <v>1073200</v>
      </c>
      <c r="D40" s="143">
        <f>Total!E46</f>
        <v>576200</v>
      </c>
      <c r="E40" s="143">
        <f>Total!F46</f>
        <v>0</v>
      </c>
      <c r="F40" s="143">
        <f>Total!G46</f>
        <v>0</v>
      </c>
      <c r="G40" s="143">
        <f>Total!H46</f>
        <v>4472500</v>
      </c>
      <c r="H40" t="s">
        <v>212</v>
      </c>
      <c r="I40" t="s">
        <v>318</v>
      </c>
      <c r="J40">
        <v>8890</v>
      </c>
      <c r="K40" t="s">
        <v>43</v>
      </c>
    </row>
    <row r="41" spans="1:11" x14ac:dyDescent="0.2">
      <c r="A41" t="s">
        <v>44</v>
      </c>
      <c r="B41" s="143">
        <f>Total!C47</f>
        <v>2060100</v>
      </c>
      <c r="C41" s="143">
        <f>Total!D47</f>
        <v>0</v>
      </c>
      <c r="D41" s="143">
        <f>Total!E47</f>
        <v>447600</v>
      </c>
      <c r="E41" s="143">
        <f>Total!F47</f>
        <v>0</v>
      </c>
      <c r="F41" s="143">
        <f>Total!G47</f>
        <v>0</v>
      </c>
      <c r="G41" s="143">
        <f>Total!H47</f>
        <v>2507700</v>
      </c>
      <c r="H41" t="s">
        <v>212</v>
      </c>
      <c r="I41" t="s">
        <v>319</v>
      </c>
      <c r="J41">
        <v>8880</v>
      </c>
      <c r="K41" t="s">
        <v>44</v>
      </c>
    </row>
    <row r="42" spans="1:11" x14ac:dyDescent="0.2">
      <c r="A42" t="s">
        <v>45</v>
      </c>
      <c r="B42" s="143">
        <f>Total!C48</f>
        <v>266800</v>
      </c>
      <c r="C42" s="143">
        <f>Total!D48</f>
        <v>481100</v>
      </c>
      <c r="D42" s="143">
        <f>Total!E48</f>
        <v>0</v>
      </c>
      <c r="E42" s="143">
        <f>Total!F48</f>
        <v>0</v>
      </c>
      <c r="F42" s="143">
        <f>Total!G48</f>
        <v>0</v>
      </c>
      <c r="G42" s="143">
        <f>Total!H48</f>
        <v>747900</v>
      </c>
      <c r="H42" t="s">
        <v>212</v>
      </c>
      <c r="I42" t="s">
        <v>320</v>
      </c>
      <c r="J42">
        <v>8882</v>
      </c>
      <c r="K42" t="s">
        <v>321</v>
      </c>
    </row>
    <row r="43" spans="1:11" x14ac:dyDescent="0.2">
      <c r="A43" t="s">
        <v>46</v>
      </c>
      <c r="B43" s="143">
        <f>Total!C49</f>
        <v>0</v>
      </c>
      <c r="C43" s="143">
        <f>Total!D49</f>
        <v>523500</v>
      </c>
      <c r="D43" s="143">
        <f>Total!E49</f>
        <v>0</v>
      </c>
      <c r="E43" s="143">
        <f>Total!F49</f>
        <v>0</v>
      </c>
      <c r="F43" s="143">
        <f>Total!G49</f>
        <v>0</v>
      </c>
      <c r="G43" s="143">
        <f>Total!H49</f>
        <v>523500</v>
      </c>
      <c r="H43" t="s">
        <v>212</v>
      </c>
      <c r="I43" t="s">
        <v>322</v>
      </c>
      <c r="J43">
        <v>8873</v>
      </c>
      <c r="K43" t="s">
        <v>46</v>
      </c>
    </row>
    <row r="44" spans="1:11" x14ac:dyDescent="0.2">
      <c r="A44" t="s">
        <v>47</v>
      </c>
      <c r="B44" s="143">
        <f>Total!C50</f>
        <v>0</v>
      </c>
      <c r="C44" s="143">
        <f>Total!D50</f>
        <v>0</v>
      </c>
      <c r="D44" s="143">
        <f>Total!E50</f>
        <v>0</v>
      </c>
      <c r="E44" s="143">
        <f>Total!F50</f>
        <v>0</v>
      </c>
      <c r="F44" s="143">
        <f>Total!G50</f>
        <v>0</v>
      </c>
      <c r="G44" s="143">
        <f>Total!H50</f>
        <v>0</v>
      </c>
      <c r="H44" t="s">
        <v>212</v>
      </c>
      <c r="I44" t="s">
        <v>323</v>
      </c>
      <c r="J44">
        <v>8872</v>
      </c>
      <c r="K44" t="s">
        <v>47</v>
      </c>
    </row>
    <row r="45" spans="1:11" x14ac:dyDescent="0.2">
      <c r="A45" t="s">
        <v>48</v>
      </c>
      <c r="B45" s="143">
        <f>Total!C51</f>
        <v>3325500</v>
      </c>
      <c r="C45" s="143">
        <f>Total!D51</f>
        <v>333400</v>
      </c>
      <c r="D45" s="143">
        <f>Total!E51</f>
        <v>999400</v>
      </c>
      <c r="E45" s="143">
        <f>Total!F51</f>
        <v>8100</v>
      </c>
      <c r="F45" s="143">
        <f>Total!G51</f>
        <v>0</v>
      </c>
      <c r="G45" s="143">
        <f>Total!H51</f>
        <v>4666400</v>
      </c>
      <c r="H45" t="s">
        <v>212</v>
      </c>
      <c r="I45" t="s">
        <v>324</v>
      </c>
      <c r="J45">
        <v>8718</v>
      </c>
      <c r="K45" t="s">
        <v>48</v>
      </c>
    </row>
    <row r="46" spans="1:11" x14ac:dyDescent="0.2">
      <c r="A46" t="s">
        <v>49</v>
      </c>
      <c r="B46" s="143">
        <f>Total!C52</f>
        <v>1986900</v>
      </c>
      <c r="C46" s="143">
        <f>Total!D52</f>
        <v>193200</v>
      </c>
      <c r="D46" s="143">
        <f>Total!E52</f>
        <v>799800</v>
      </c>
      <c r="E46" s="143">
        <f>Total!F52</f>
        <v>0</v>
      </c>
      <c r="F46" s="143">
        <f>Total!G52</f>
        <v>0</v>
      </c>
      <c r="G46" s="143">
        <f>Total!H52</f>
        <v>2979900</v>
      </c>
      <c r="H46" t="s">
        <v>212</v>
      </c>
      <c r="I46" t="s">
        <v>325</v>
      </c>
      <c r="J46">
        <v>8717</v>
      </c>
      <c r="K46" t="s">
        <v>49</v>
      </c>
    </row>
    <row r="47" spans="1:11" x14ac:dyDescent="0.2">
      <c r="A47" t="s">
        <v>50</v>
      </c>
      <c r="B47" s="143">
        <f>Total!C53</f>
        <v>2847600</v>
      </c>
      <c r="C47" s="143">
        <f>Total!D53</f>
        <v>0</v>
      </c>
      <c r="D47" s="143">
        <f>Total!E53</f>
        <v>346900</v>
      </c>
      <c r="E47" s="143">
        <f>Total!F53</f>
        <v>0</v>
      </c>
      <c r="F47" s="143">
        <f>Total!G53</f>
        <v>0</v>
      </c>
      <c r="G47" s="143">
        <f>Total!H53</f>
        <v>3194500</v>
      </c>
      <c r="H47" t="s">
        <v>212</v>
      </c>
      <c r="I47" t="s">
        <v>326</v>
      </c>
      <c r="J47">
        <v>8722</v>
      </c>
      <c r="K47" t="s">
        <v>50</v>
      </c>
    </row>
    <row r="48" spans="1:11" x14ac:dyDescent="0.2">
      <c r="A48" t="s">
        <v>51</v>
      </c>
      <c r="B48" s="143">
        <f>Total!C54</f>
        <v>0</v>
      </c>
      <c r="C48" s="143">
        <f>Total!D54</f>
        <v>172400</v>
      </c>
      <c r="D48" s="143">
        <f>Total!E54</f>
        <v>0</v>
      </c>
      <c r="E48" s="143">
        <f>Total!F54</f>
        <v>0</v>
      </c>
      <c r="F48" s="143">
        <f>Total!G54</f>
        <v>0</v>
      </c>
      <c r="G48" s="143">
        <f>Total!H54</f>
        <v>172400</v>
      </c>
      <c r="H48" t="s">
        <v>212</v>
      </c>
      <c r="I48" t="s">
        <v>389</v>
      </c>
      <c r="J48">
        <v>8737</v>
      </c>
      <c r="K48" t="s">
        <v>51</v>
      </c>
    </row>
    <row r="49" spans="1:11" x14ac:dyDescent="0.2">
      <c r="A49" t="s">
        <v>52</v>
      </c>
      <c r="B49" s="143">
        <f>Total!C55</f>
        <v>1662700</v>
      </c>
      <c r="C49" s="143">
        <f>Total!D55</f>
        <v>0</v>
      </c>
      <c r="D49" s="143">
        <f>Total!E55</f>
        <v>670300</v>
      </c>
      <c r="E49" s="143">
        <f>Total!F55</f>
        <v>148800</v>
      </c>
      <c r="F49" s="143">
        <f>Total!G55</f>
        <v>0</v>
      </c>
      <c r="G49" s="143">
        <f>Total!H55</f>
        <v>2481800</v>
      </c>
      <c r="H49" t="s">
        <v>212</v>
      </c>
      <c r="I49" t="s">
        <v>327</v>
      </c>
      <c r="J49">
        <v>8730</v>
      </c>
      <c r="K49" t="s">
        <v>52</v>
      </c>
    </row>
    <row r="50" spans="1:11" x14ac:dyDescent="0.2">
      <c r="A50" t="s">
        <v>53</v>
      </c>
      <c r="B50" s="143">
        <f>Total!C56</f>
        <v>0</v>
      </c>
      <c r="C50" s="143">
        <f>Total!D56</f>
        <v>0</v>
      </c>
      <c r="D50" s="143">
        <f>Total!E56</f>
        <v>0</v>
      </c>
      <c r="E50" s="143">
        <f>Total!F56</f>
        <v>0</v>
      </c>
      <c r="F50" s="143">
        <f>Total!G56</f>
        <v>0</v>
      </c>
      <c r="G50" s="143">
        <f>Total!H56</f>
        <v>0</v>
      </c>
      <c r="H50" t="s">
        <v>212</v>
      </c>
      <c r="I50" t="s">
        <v>328</v>
      </c>
      <c r="J50">
        <v>8716</v>
      </c>
      <c r="K50" t="s">
        <v>53</v>
      </c>
    </row>
    <row r="51" spans="1:11" x14ac:dyDescent="0.2">
      <c r="A51" t="s">
        <v>54</v>
      </c>
      <c r="B51" s="143">
        <f>Total!C57</f>
        <v>0</v>
      </c>
      <c r="C51" s="143">
        <f>Total!D57</f>
        <v>0</v>
      </c>
      <c r="D51" s="143">
        <f>Total!E57</f>
        <v>0</v>
      </c>
      <c r="E51" s="143">
        <f>Total!F57</f>
        <v>199300</v>
      </c>
      <c r="F51" s="143">
        <f>Total!G57</f>
        <v>0</v>
      </c>
      <c r="G51" s="143">
        <f>Total!H57</f>
        <v>199300</v>
      </c>
      <c r="H51" t="s">
        <v>278</v>
      </c>
      <c r="I51" t="s">
        <v>329</v>
      </c>
      <c r="J51">
        <v>8645</v>
      </c>
      <c r="K51" t="s">
        <v>330</v>
      </c>
    </row>
    <row r="52" spans="1:11" x14ac:dyDescent="0.2">
      <c r="A52" t="s">
        <v>55</v>
      </c>
      <c r="B52" s="143">
        <f>Total!C58</f>
        <v>1292300</v>
      </c>
      <c r="C52" s="143">
        <f>Total!D58</f>
        <v>1431100</v>
      </c>
      <c r="D52" s="143">
        <f>Total!E58</f>
        <v>1032200</v>
      </c>
      <c r="E52" s="143">
        <f>Total!F58</f>
        <v>0</v>
      </c>
      <c r="F52" s="143">
        <f>Total!G58</f>
        <v>0</v>
      </c>
      <c r="G52" s="143">
        <f>Total!H58</f>
        <v>3755600</v>
      </c>
      <c r="H52" t="s">
        <v>212</v>
      </c>
      <c r="I52" t="s">
        <v>331</v>
      </c>
      <c r="J52">
        <v>8733</v>
      </c>
      <c r="K52" t="s">
        <v>55</v>
      </c>
    </row>
    <row r="53" spans="1:11" x14ac:dyDescent="0.2">
      <c r="A53" t="s">
        <v>56</v>
      </c>
      <c r="B53" s="143">
        <f>Total!C59</f>
        <v>161100</v>
      </c>
      <c r="C53" s="143">
        <f>Total!D59</f>
        <v>2262000</v>
      </c>
      <c r="D53" s="143">
        <f>Total!E59</f>
        <v>389000</v>
      </c>
      <c r="E53" s="143">
        <f>Total!F59</f>
        <v>0</v>
      </c>
      <c r="F53" s="143">
        <f>Total!G59</f>
        <v>0</v>
      </c>
      <c r="G53" s="143">
        <f>Total!H59</f>
        <v>2812100</v>
      </c>
      <c r="H53" t="s">
        <v>212</v>
      </c>
      <c r="I53" t="s">
        <v>332</v>
      </c>
      <c r="J53">
        <v>9656</v>
      </c>
      <c r="K53" t="s">
        <v>333</v>
      </c>
    </row>
    <row r="54" spans="1:11" x14ac:dyDescent="0.2">
      <c r="A54" t="s">
        <v>57</v>
      </c>
      <c r="B54" s="143">
        <f>Total!C60</f>
        <v>2963600</v>
      </c>
      <c r="C54" s="143">
        <f>Total!D60</f>
        <v>2389900</v>
      </c>
      <c r="D54" s="143">
        <f>Total!E60</f>
        <v>0</v>
      </c>
      <c r="E54" s="143">
        <f>Total!F60</f>
        <v>0</v>
      </c>
      <c r="F54" s="143">
        <f>Total!G60</f>
        <v>0</v>
      </c>
      <c r="G54" s="143">
        <f>Total!H60</f>
        <v>5353500</v>
      </c>
      <c r="H54" t="s">
        <v>212</v>
      </c>
      <c r="I54" t="s">
        <v>334</v>
      </c>
      <c r="J54">
        <v>9650</v>
      </c>
      <c r="K54" t="s">
        <v>57</v>
      </c>
    </row>
    <row r="55" spans="1:11" x14ac:dyDescent="0.2">
      <c r="A55" t="s">
        <v>58</v>
      </c>
      <c r="B55" s="143">
        <f>Total!C61</f>
        <v>3764400</v>
      </c>
      <c r="C55" s="143">
        <f>Total!D61</f>
        <v>1419100</v>
      </c>
      <c r="D55" s="143">
        <f>Total!E61</f>
        <v>207900</v>
      </c>
      <c r="E55" s="143">
        <f>Total!F61</f>
        <v>242500</v>
      </c>
      <c r="F55" s="143">
        <f>Total!G61</f>
        <v>0</v>
      </c>
      <c r="G55" s="143">
        <f>Total!H61</f>
        <v>5633900</v>
      </c>
      <c r="H55" t="s">
        <v>212</v>
      </c>
      <c r="I55" t="s">
        <v>335</v>
      </c>
      <c r="J55">
        <v>9642</v>
      </c>
      <c r="K55" t="s">
        <v>58</v>
      </c>
    </row>
    <row r="56" spans="1:11" x14ac:dyDescent="0.2">
      <c r="A56" t="s">
        <v>59</v>
      </c>
      <c r="B56" s="143">
        <f>Total!C62</f>
        <v>7533900</v>
      </c>
      <c r="C56" s="143">
        <f>Total!D62</f>
        <v>1089500</v>
      </c>
      <c r="D56" s="143">
        <f>Total!E62</f>
        <v>20900</v>
      </c>
      <c r="E56" s="143">
        <f>Total!F62</f>
        <v>814200</v>
      </c>
      <c r="F56" s="143">
        <f>Total!G62</f>
        <v>0</v>
      </c>
      <c r="G56" s="143">
        <f>Total!H62</f>
        <v>9458500</v>
      </c>
      <c r="H56" t="s">
        <v>212</v>
      </c>
      <c r="I56" t="s">
        <v>336</v>
      </c>
      <c r="J56">
        <v>9630</v>
      </c>
      <c r="K56" t="s">
        <v>59</v>
      </c>
    </row>
    <row r="57" spans="1:11" x14ac:dyDescent="0.2">
      <c r="A57" t="s">
        <v>60</v>
      </c>
      <c r="B57" s="143">
        <f>Total!C63</f>
        <v>1235700</v>
      </c>
      <c r="C57" s="143">
        <f>Total!D63</f>
        <v>0</v>
      </c>
      <c r="D57" s="143">
        <f>Total!E63</f>
        <v>0</v>
      </c>
      <c r="E57" s="143">
        <f>Total!F63</f>
        <v>3500</v>
      </c>
      <c r="F57" s="143">
        <f>Total!G63</f>
        <v>0</v>
      </c>
      <c r="G57" s="143">
        <f>Total!H63</f>
        <v>1239200</v>
      </c>
      <c r="H57" t="s">
        <v>278</v>
      </c>
      <c r="I57" t="s">
        <v>337</v>
      </c>
      <c r="J57">
        <v>9620</v>
      </c>
      <c r="K57" t="s">
        <v>60</v>
      </c>
    </row>
    <row r="58" spans="1:11" x14ac:dyDescent="0.2">
      <c r="A58" t="s">
        <v>384</v>
      </c>
      <c r="B58" s="143">
        <f>Total!C64</f>
        <v>6864800</v>
      </c>
      <c r="C58" s="143">
        <f>Total!D64</f>
        <v>5069400</v>
      </c>
      <c r="D58" s="143">
        <f>Total!E64</f>
        <v>1410600</v>
      </c>
      <c r="E58" s="143">
        <f>Total!F64</f>
        <v>126700</v>
      </c>
      <c r="F58" s="143">
        <f>Total!G64</f>
        <v>0</v>
      </c>
      <c r="G58" s="143">
        <f>Total!H64</f>
        <v>13471500</v>
      </c>
      <c r="H58" t="s">
        <v>212</v>
      </c>
      <c r="I58" t="s">
        <v>338</v>
      </c>
      <c r="J58">
        <v>9122</v>
      </c>
      <c r="K58" t="s">
        <v>339</v>
      </c>
    </row>
    <row r="59" spans="1:11" x14ac:dyDescent="0.2">
      <c r="A59" t="s">
        <v>61</v>
      </c>
      <c r="B59" s="143">
        <f>Total!C65</f>
        <v>3327100</v>
      </c>
      <c r="C59" s="143">
        <f>Total!D65</f>
        <v>700800</v>
      </c>
      <c r="D59" s="143">
        <f>Total!E65</f>
        <v>506200</v>
      </c>
      <c r="E59" s="143">
        <f>Total!F65</f>
        <v>123900</v>
      </c>
      <c r="F59" s="143">
        <f>Total!G65</f>
        <v>0</v>
      </c>
      <c r="G59" s="143">
        <f>Total!H65</f>
        <v>4658000</v>
      </c>
      <c r="H59" t="s">
        <v>212</v>
      </c>
      <c r="I59" t="s">
        <v>340</v>
      </c>
      <c r="J59">
        <v>9606</v>
      </c>
      <c r="K59" t="s">
        <v>341</v>
      </c>
    </row>
    <row r="60" spans="1:11" x14ac:dyDescent="0.2">
      <c r="A60" t="s">
        <v>62</v>
      </c>
      <c r="B60" s="143">
        <f>Total!C66</f>
        <v>1301100</v>
      </c>
      <c r="C60" s="143">
        <f>Total!D66</f>
        <v>633000</v>
      </c>
      <c r="D60" s="143">
        <f>Total!E66</f>
        <v>593200</v>
      </c>
      <c r="E60" s="143">
        <f>Total!F66</f>
        <v>0</v>
      </c>
      <c r="F60" s="143">
        <f>Total!G66</f>
        <v>0</v>
      </c>
      <c r="G60" s="143">
        <f>Total!H66</f>
        <v>2527300</v>
      </c>
      <c r="H60" t="s">
        <v>212</v>
      </c>
      <c r="I60" t="s">
        <v>342</v>
      </c>
      <c r="J60">
        <v>9604</v>
      </c>
      <c r="K60" t="s">
        <v>62</v>
      </c>
    </row>
    <row r="61" spans="1:11" x14ac:dyDescent="0.2">
      <c r="A61" t="s">
        <v>63</v>
      </c>
      <c r="B61" s="143">
        <f>Total!C67</f>
        <v>3250100</v>
      </c>
      <c r="C61" s="143">
        <f>Total!D67</f>
        <v>1942600</v>
      </c>
      <c r="D61" s="143">
        <f>Total!E67</f>
        <v>1240600</v>
      </c>
      <c r="E61" s="143">
        <f>Total!F67</f>
        <v>33100</v>
      </c>
      <c r="F61" s="143">
        <f>Total!G67</f>
        <v>0</v>
      </c>
      <c r="G61" s="143">
        <f>Total!H67</f>
        <v>6466400</v>
      </c>
      <c r="H61" t="s">
        <v>212</v>
      </c>
      <c r="I61" t="s">
        <v>343</v>
      </c>
      <c r="J61">
        <v>9607</v>
      </c>
      <c r="K61" t="s">
        <v>63</v>
      </c>
    </row>
    <row r="62" spans="1:11" x14ac:dyDescent="0.2">
      <c r="A62" t="s">
        <v>64</v>
      </c>
      <c r="B62" s="143">
        <f>Total!C68</f>
        <v>4217300</v>
      </c>
      <c r="C62" s="143">
        <f>Total!D68</f>
        <v>2197900</v>
      </c>
      <c r="D62" s="143">
        <f>Total!E68</f>
        <v>2523000</v>
      </c>
      <c r="E62" s="143">
        <f>Total!F68</f>
        <v>686800</v>
      </c>
      <c r="F62" s="143">
        <f>Total!G68</f>
        <v>0</v>
      </c>
      <c r="G62" s="143">
        <f>Total!H68</f>
        <v>9625000</v>
      </c>
      <c r="H62" t="s">
        <v>212</v>
      </c>
      <c r="I62" t="s">
        <v>344</v>
      </c>
      <c r="J62">
        <v>9533</v>
      </c>
      <c r="K62" t="s">
        <v>64</v>
      </c>
    </row>
    <row r="63" spans="1:11" x14ac:dyDescent="0.2">
      <c r="A63" t="s">
        <v>65</v>
      </c>
      <c r="B63" s="143">
        <f>Total!C69</f>
        <v>1066800</v>
      </c>
      <c r="C63" s="143">
        <f>Total!D69</f>
        <v>0</v>
      </c>
      <c r="D63" s="143">
        <f>Total!E69</f>
        <v>1041900</v>
      </c>
      <c r="E63" s="143">
        <f>Total!F69</f>
        <v>0</v>
      </c>
      <c r="F63" s="143">
        <f>Total!G69</f>
        <v>0</v>
      </c>
      <c r="G63" s="143">
        <f>Total!H69</f>
        <v>2108700</v>
      </c>
      <c r="H63" t="s">
        <v>212</v>
      </c>
      <c r="I63" t="s">
        <v>345</v>
      </c>
      <c r="J63">
        <v>9243</v>
      </c>
      <c r="K63" t="s">
        <v>65</v>
      </c>
    </row>
    <row r="64" spans="1:11" x14ac:dyDescent="0.2">
      <c r="A64" t="s">
        <v>66</v>
      </c>
      <c r="B64" s="143">
        <f>Total!C70</f>
        <v>2122000</v>
      </c>
      <c r="C64" s="143">
        <f>Total!D70</f>
        <v>0</v>
      </c>
      <c r="D64" s="143">
        <f>Total!E70</f>
        <v>785000</v>
      </c>
      <c r="E64" s="143">
        <f>Total!F70</f>
        <v>0</v>
      </c>
      <c r="F64" s="143">
        <f>Total!G70</f>
        <v>0</v>
      </c>
      <c r="G64" s="143">
        <f>Total!H70</f>
        <v>2907000</v>
      </c>
      <c r="H64" t="s">
        <v>212</v>
      </c>
      <c r="I64" t="s">
        <v>346</v>
      </c>
      <c r="J64">
        <v>9242</v>
      </c>
      <c r="K64" t="s">
        <v>66</v>
      </c>
    </row>
    <row r="65" spans="1:11" x14ac:dyDescent="0.2">
      <c r="A65" t="s">
        <v>67</v>
      </c>
      <c r="B65" s="143">
        <f>Total!C71</f>
        <v>5831100</v>
      </c>
      <c r="C65" s="143">
        <f>Total!D71</f>
        <v>0</v>
      </c>
      <c r="D65" s="143">
        <f>Total!E71</f>
        <v>1806900</v>
      </c>
      <c r="E65" s="143">
        <f>Total!F71</f>
        <v>0</v>
      </c>
      <c r="F65" s="143">
        <f>Total!G71</f>
        <v>0</v>
      </c>
      <c r="G65" s="143">
        <f>Total!H71</f>
        <v>7638000</v>
      </c>
      <c r="H65" t="s">
        <v>212</v>
      </c>
      <c r="I65" t="s">
        <v>347</v>
      </c>
      <c r="J65">
        <v>9240</v>
      </c>
      <c r="K65" t="s">
        <v>67</v>
      </c>
    </row>
    <row r="66" spans="1:11" x14ac:dyDescent="0.2">
      <c r="A66" t="s">
        <v>68</v>
      </c>
      <c r="B66" s="143">
        <f>Total!C72</f>
        <v>5882900</v>
      </c>
      <c r="C66" s="143">
        <f>Total!D72</f>
        <v>0</v>
      </c>
      <c r="D66" s="143">
        <f>Total!E72</f>
        <v>1596600</v>
      </c>
      <c r="E66" s="143">
        <f>Total!F72</f>
        <v>344600</v>
      </c>
      <c r="F66" s="143">
        <f>Total!G72</f>
        <v>0</v>
      </c>
      <c r="G66" s="143">
        <f>Total!H72</f>
        <v>7824100</v>
      </c>
      <c r="H66" t="s">
        <v>212</v>
      </c>
      <c r="I66" t="s">
        <v>348</v>
      </c>
      <c r="J66">
        <v>9230</v>
      </c>
      <c r="K66" t="s">
        <v>68</v>
      </c>
    </row>
    <row r="67" spans="1:11" x14ac:dyDescent="0.2">
      <c r="A67" t="s">
        <v>69</v>
      </c>
      <c r="B67" s="143">
        <f>Total!C73</f>
        <v>3159900</v>
      </c>
      <c r="C67" s="143">
        <f>Total!D73</f>
        <v>898600</v>
      </c>
      <c r="D67" s="143">
        <f>Total!E73</f>
        <v>1140400</v>
      </c>
      <c r="E67" s="143">
        <f>Total!F73</f>
        <v>244800</v>
      </c>
      <c r="F67" s="143">
        <f>Total!G73</f>
        <v>0</v>
      </c>
      <c r="G67" s="143">
        <f>Total!H73</f>
        <v>5443700</v>
      </c>
      <c r="H67" t="s">
        <v>212</v>
      </c>
      <c r="I67" t="s">
        <v>349</v>
      </c>
      <c r="J67">
        <v>9113</v>
      </c>
      <c r="K67" t="s">
        <v>69</v>
      </c>
    </row>
    <row r="68" spans="1:11" x14ac:dyDescent="0.2">
      <c r="A68" t="s">
        <v>70</v>
      </c>
      <c r="B68" s="143">
        <f>Total!C74</f>
        <v>0</v>
      </c>
      <c r="C68" s="143">
        <f>Total!D74</f>
        <v>0</v>
      </c>
      <c r="D68" s="143">
        <f>Total!E74</f>
        <v>0</v>
      </c>
      <c r="E68" s="143">
        <f>Total!F74</f>
        <v>2726700</v>
      </c>
      <c r="F68" s="143">
        <f>Total!G74</f>
        <v>0</v>
      </c>
      <c r="G68" s="143">
        <f>Total!H74</f>
        <v>2726700</v>
      </c>
      <c r="H68" t="s">
        <v>278</v>
      </c>
      <c r="I68" t="s">
        <v>350</v>
      </c>
      <c r="J68">
        <v>9500</v>
      </c>
      <c r="K68" t="s">
        <v>70</v>
      </c>
    </row>
    <row r="69" spans="1:11" x14ac:dyDescent="0.2">
      <c r="A69" t="s">
        <v>71</v>
      </c>
      <c r="B69" s="143">
        <f>Total!C75</f>
        <v>0</v>
      </c>
      <c r="C69" s="143">
        <f>Total!D75</f>
        <v>0</v>
      </c>
      <c r="D69" s="143">
        <f>Total!E75</f>
        <v>0</v>
      </c>
      <c r="E69" s="143">
        <f>Total!F75</f>
        <v>0</v>
      </c>
      <c r="F69" s="143">
        <f>Total!G75</f>
        <v>0</v>
      </c>
      <c r="G69" s="143">
        <f>Total!H75</f>
        <v>0</v>
      </c>
      <c r="H69" t="s">
        <v>212</v>
      </c>
      <c r="I69" t="s">
        <v>351</v>
      </c>
      <c r="J69">
        <v>9524</v>
      </c>
      <c r="K69" t="s">
        <v>71</v>
      </c>
    </row>
    <row r="70" spans="1:11" x14ac:dyDescent="0.2">
      <c r="A70" t="s">
        <v>72</v>
      </c>
      <c r="B70" s="143">
        <f>Total!C76</f>
        <v>0</v>
      </c>
      <c r="C70" s="143">
        <f>Total!D76</f>
        <v>739100</v>
      </c>
      <c r="D70" s="143">
        <f>Total!E76</f>
        <v>519000</v>
      </c>
      <c r="E70" s="143">
        <f>Total!F76</f>
        <v>0</v>
      </c>
      <c r="F70" s="143">
        <f>Total!G76</f>
        <v>0</v>
      </c>
      <c r="G70" s="143">
        <f>Total!H76</f>
        <v>1258100</v>
      </c>
      <c r="H70" t="s">
        <v>212</v>
      </c>
      <c r="I70" t="s">
        <v>352</v>
      </c>
      <c r="J70">
        <v>9245</v>
      </c>
      <c r="K70" t="s">
        <v>72</v>
      </c>
    </row>
    <row r="71" spans="1:11" x14ac:dyDescent="0.2">
      <c r="A71" t="s">
        <v>73</v>
      </c>
      <c r="B71" s="143">
        <f>Total!C77</f>
        <v>655600</v>
      </c>
      <c r="C71" s="143">
        <f>Total!D77</f>
        <v>548200</v>
      </c>
      <c r="D71" s="143">
        <f>Total!E77</f>
        <v>535600</v>
      </c>
      <c r="E71" s="143">
        <f>Total!F77</f>
        <v>0</v>
      </c>
      <c r="F71" s="143">
        <f>Total!G77</f>
        <v>0</v>
      </c>
      <c r="G71" s="143">
        <f>Total!H77</f>
        <v>1739400</v>
      </c>
      <c r="H71" t="s">
        <v>212</v>
      </c>
      <c r="I71" t="s">
        <v>353</v>
      </c>
      <c r="J71">
        <v>9246</v>
      </c>
      <c r="K71" t="s">
        <v>73</v>
      </c>
    </row>
    <row r="72" spans="1:11" x14ac:dyDescent="0.2">
      <c r="A72" t="s">
        <v>74</v>
      </c>
      <c r="B72" s="143">
        <f>Total!C78</f>
        <v>1337200</v>
      </c>
      <c r="C72" s="143">
        <f>Total!D78</f>
        <v>583900</v>
      </c>
      <c r="D72" s="143">
        <f>Total!E78</f>
        <v>1237200</v>
      </c>
      <c r="E72" s="143">
        <f>Total!F78</f>
        <v>0</v>
      </c>
      <c r="F72" s="143">
        <f>Total!G78</f>
        <v>0</v>
      </c>
      <c r="G72" s="143">
        <f>Total!H78</f>
        <v>3158300</v>
      </c>
      <c r="H72" t="s">
        <v>212</v>
      </c>
      <c r="I72" t="s">
        <v>354</v>
      </c>
      <c r="J72">
        <v>9527</v>
      </c>
      <c r="K72" t="s">
        <v>74</v>
      </c>
    </row>
    <row r="73" spans="1:11" x14ac:dyDescent="0.2">
      <c r="A73" t="s">
        <v>75</v>
      </c>
      <c r="B73" s="143">
        <f>Total!C79</f>
        <v>0</v>
      </c>
      <c r="C73" s="143">
        <f>Total!D79</f>
        <v>0</v>
      </c>
      <c r="D73" s="143">
        <f>Total!E79</f>
        <v>0</v>
      </c>
      <c r="E73" s="143">
        <f>Total!F79</f>
        <v>0</v>
      </c>
      <c r="F73" s="143">
        <f>Total!G79</f>
        <v>0</v>
      </c>
      <c r="G73" s="143">
        <f>Total!H79</f>
        <v>0</v>
      </c>
      <c r="H73" t="s">
        <v>278</v>
      </c>
      <c r="I73" t="s">
        <v>355</v>
      </c>
      <c r="J73">
        <v>9200</v>
      </c>
      <c r="K73" t="s">
        <v>75</v>
      </c>
    </row>
    <row r="74" spans="1:11" x14ac:dyDescent="0.2">
      <c r="A74" t="s">
        <v>76</v>
      </c>
      <c r="B74" s="143">
        <f>Total!C80</f>
        <v>21200</v>
      </c>
      <c r="C74" s="143">
        <f>Total!D80</f>
        <v>114400</v>
      </c>
      <c r="D74" s="143">
        <f>Total!E80</f>
        <v>609500</v>
      </c>
      <c r="E74" s="143">
        <f>Total!F80</f>
        <v>0</v>
      </c>
      <c r="F74" s="143">
        <f>Total!G80</f>
        <v>0</v>
      </c>
      <c r="G74" s="143">
        <f>Total!H80</f>
        <v>745100</v>
      </c>
      <c r="H74" t="s">
        <v>212</v>
      </c>
      <c r="I74" t="s">
        <v>356</v>
      </c>
      <c r="J74">
        <v>9204</v>
      </c>
      <c r="K74" t="s">
        <v>76</v>
      </c>
    </row>
    <row r="75" spans="1:11" x14ac:dyDescent="0.2">
      <c r="A75" t="s">
        <v>77</v>
      </c>
      <c r="B75" s="143">
        <f>Total!C81</f>
        <v>1650000</v>
      </c>
      <c r="C75" s="143">
        <f>Total!D81</f>
        <v>1834600</v>
      </c>
      <c r="D75" s="143">
        <f>Total!E81</f>
        <v>1481300</v>
      </c>
      <c r="E75" s="143">
        <f>Total!F81</f>
        <v>76000</v>
      </c>
      <c r="F75" s="143">
        <f>Total!G81</f>
        <v>0</v>
      </c>
      <c r="G75" s="143">
        <f>Total!H81</f>
        <v>5041900</v>
      </c>
      <c r="H75" t="s">
        <v>212</v>
      </c>
      <c r="I75" t="s">
        <v>357</v>
      </c>
      <c r="J75">
        <v>9205</v>
      </c>
      <c r="K75" t="s">
        <v>77</v>
      </c>
    </row>
    <row r="76" spans="1:11" x14ac:dyDescent="0.2">
      <c r="A76" t="s">
        <v>78</v>
      </c>
      <c r="B76" s="143">
        <f>Total!C82</f>
        <v>0</v>
      </c>
      <c r="C76" s="143">
        <f>Total!D82</f>
        <v>0</v>
      </c>
      <c r="D76" s="143">
        <f>Total!E82</f>
        <v>146500</v>
      </c>
      <c r="E76" s="143">
        <f>Total!F82</f>
        <v>0</v>
      </c>
      <c r="F76" s="143">
        <f>Total!G82</f>
        <v>0</v>
      </c>
      <c r="G76" s="143">
        <f>Total!H82</f>
        <v>146500</v>
      </c>
      <c r="H76" t="s">
        <v>212</v>
      </c>
      <c r="I76" t="s">
        <v>293</v>
      </c>
      <c r="J76">
        <v>9030</v>
      </c>
      <c r="K76" t="s">
        <v>358</v>
      </c>
    </row>
    <row r="77" spans="1:11" x14ac:dyDescent="0.2">
      <c r="B77" s="143">
        <f>SUM(B2:B76)</f>
        <v>115049300</v>
      </c>
      <c r="C77" s="143">
        <f t="shared" ref="C77:G77" si="0">SUM(C2:C76)</f>
        <v>37613300</v>
      </c>
      <c r="D77" s="143">
        <f t="shared" si="0"/>
        <v>30726800</v>
      </c>
      <c r="E77" s="143">
        <f t="shared" si="0"/>
        <v>26497800</v>
      </c>
      <c r="F77" s="143">
        <f t="shared" si="0"/>
        <v>16818100</v>
      </c>
      <c r="G77" s="143">
        <f t="shared" si="0"/>
        <v>226705300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32"/>
  <sheetViews>
    <sheetView showGridLines="0" tabSelected="1" workbookViewId="0">
      <selection activeCell="B7" sqref="B7:E7"/>
    </sheetView>
  </sheetViews>
  <sheetFormatPr baseColWidth="10" defaultRowHeight="12.75" x14ac:dyDescent="0.2"/>
  <cols>
    <col min="1" max="1" width="30.140625" customWidth="1"/>
    <col min="2" max="2" width="11.85546875" customWidth="1"/>
    <col min="3" max="3" width="6.7109375" bestFit="1" customWidth="1"/>
    <col min="4" max="4" width="3.42578125" bestFit="1" customWidth="1"/>
    <col min="5" max="5" width="17.140625" customWidth="1"/>
    <col min="6" max="6" width="3.42578125" customWidth="1"/>
    <col min="7" max="7" width="17.140625" customWidth="1"/>
    <col min="8" max="8" width="3.42578125" customWidth="1"/>
    <col min="9" max="9" width="17.140625" customWidth="1"/>
    <col min="10" max="10" width="3.42578125" customWidth="1"/>
    <col min="11" max="11" width="17.140625" customWidth="1"/>
    <col min="12" max="12" width="3.42578125" customWidth="1"/>
    <col min="13" max="13" width="17.140625" customWidth="1"/>
    <col min="14" max="14" width="13.140625" customWidth="1"/>
  </cols>
  <sheetData>
    <row r="1" spans="1:15" x14ac:dyDescent="0.2">
      <c r="A1" s="82" t="s">
        <v>194</v>
      </c>
    </row>
    <row r="2" spans="1:15" x14ac:dyDescent="0.2">
      <c r="A2" t="s">
        <v>195</v>
      </c>
    </row>
    <row r="5" spans="1:15" ht="26.25" x14ac:dyDescent="0.2">
      <c r="A5" s="93" t="s">
        <v>391</v>
      </c>
      <c r="B5" s="79"/>
      <c r="C5" s="79"/>
      <c r="D5" s="78"/>
      <c r="E5" s="77"/>
      <c r="F5" s="77"/>
      <c r="G5" s="77"/>
      <c r="H5" s="77"/>
      <c r="I5" s="77"/>
      <c r="J5" s="77"/>
      <c r="K5" s="77"/>
      <c r="L5" s="77"/>
      <c r="M5" s="77"/>
    </row>
    <row r="6" spans="1:15" x14ac:dyDescent="0.2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5" ht="18" x14ac:dyDescent="0.2">
      <c r="A7" s="78" t="s">
        <v>196</v>
      </c>
      <c r="B7" s="208" t="s">
        <v>202</v>
      </c>
      <c r="C7" s="208"/>
      <c r="D7" s="209"/>
      <c r="E7" s="209"/>
      <c r="F7" s="155"/>
      <c r="G7" s="155"/>
      <c r="H7" s="155"/>
      <c r="I7" s="155"/>
      <c r="J7" s="155"/>
      <c r="K7" s="155"/>
      <c r="L7" s="155"/>
      <c r="M7" s="155"/>
    </row>
    <row r="8" spans="1:15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1:15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</row>
    <row r="10" spans="1:15" ht="15.75" x14ac:dyDescent="0.25">
      <c r="A10" s="156" t="s">
        <v>247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5" x14ac:dyDescent="0.2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5" s="177" customFormat="1" ht="19.5" customHeight="1" x14ac:dyDescent="0.2">
      <c r="A12" s="172" t="s">
        <v>248</v>
      </c>
      <c r="B12" s="173"/>
      <c r="C12" s="173"/>
      <c r="D12" s="172"/>
      <c r="E12" s="174" t="s">
        <v>79</v>
      </c>
      <c r="F12" s="175"/>
      <c r="G12" s="174" t="s">
        <v>249</v>
      </c>
      <c r="H12" s="175"/>
      <c r="I12" s="175" t="s">
        <v>250</v>
      </c>
      <c r="J12" s="176"/>
      <c r="K12" s="175" t="s">
        <v>251</v>
      </c>
      <c r="L12" s="176"/>
      <c r="M12" s="174" t="s">
        <v>252</v>
      </c>
    </row>
    <row r="13" spans="1:15" s="81" customFormat="1" ht="19.5" customHeight="1" x14ac:dyDescent="0.2">
      <c r="A13" s="162" t="s">
        <v>197</v>
      </c>
      <c r="B13" s="163"/>
      <c r="C13" s="178" t="s">
        <v>205</v>
      </c>
      <c r="D13" s="167"/>
      <c r="E13" s="169" t="e">
        <f>VLOOKUP(B7,Total!B7:H83,2,FALSE)</f>
        <v>#N/A</v>
      </c>
      <c r="F13" s="170"/>
      <c r="G13" s="169" t="e">
        <f>ROUND(E13/4,-2)</f>
        <v>#N/A</v>
      </c>
      <c r="H13" s="170"/>
      <c r="I13" s="170" t="e">
        <f>ROUND(E13/4,-2)</f>
        <v>#N/A</v>
      </c>
      <c r="J13" s="171"/>
      <c r="K13" s="170" t="e">
        <f>ROUND(E13/4,-2)</f>
        <v>#N/A</v>
      </c>
      <c r="L13" s="171"/>
      <c r="M13" s="169" t="e">
        <f>E13-G13-I13-K13</f>
        <v>#N/A</v>
      </c>
      <c r="O13" s="94"/>
    </row>
    <row r="14" spans="1:15" s="81" customFormat="1" ht="19.5" customHeight="1" x14ac:dyDescent="0.2">
      <c r="A14" s="162" t="s">
        <v>198</v>
      </c>
      <c r="B14" s="163"/>
      <c r="C14" s="178" t="s">
        <v>205</v>
      </c>
      <c r="D14" s="167"/>
      <c r="E14" s="169" t="e">
        <f>VLOOKUP(B7,Total!B7:H83,3,FALSE)</f>
        <v>#N/A</v>
      </c>
      <c r="F14" s="170"/>
      <c r="G14" s="169" t="e">
        <f t="shared" ref="G14:G17" si="0">ROUND(E14/4,-2)</f>
        <v>#N/A</v>
      </c>
      <c r="H14" s="170"/>
      <c r="I14" s="170" t="e">
        <f t="shared" ref="I14:I17" si="1">ROUND(E14/4,-2)</f>
        <v>#N/A</v>
      </c>
      <c r="J14" s="171"/>
      <c r="K14" s="170" t="e">
        <f t="shared" ref="K14:K17" si="2">ROUND(E14/4,-2)</f>
        <v>#N/A</v>
      </c>
      <c r="L14" s="171"/>
      <c r="M14" s="169" t="e">
        <f t="shared" ref="M14:M17" si="3">E14-G14-I14-K14</f>
        <v>#N/A</v>
      </c>
      <c r="O14" s="94"/>
    </row>
    <row r="15" spans="1:15" s="81" customFormat="1" ht="19.5" customHeight="1" x14ac:dyDescent="0.2">
      <c r="A15" s="162" t="s">
        <v>199</v>
      </c>
      <c r="B15" s="163"/>
      <c r="C15" s="178" t="s">
        <v>205</v>
      </c>
      <c r="D15" s="167"/>
      <c r="E15" s="169" t="e">
        <f>VLOOKUP(B7,Total!B7:H83,4,FALSE)</f>
        <v>#N/A</v>
      </c>
      <c r="F15" s="170"/>
      <c r="G15" s="169" t="e">
        <f t="shared" si="0"/>
        <v>#N/A</v>
      </c>
      <c r="H15" s="170"/>
      <c r="I15" s="170" t="e">
        <f t="shared" si="1"/>
        <v>#N/A</v>
      </c>
      <c r="J15" s="171"/>
      <c r="K15" s="170" t="e">
        <f t="shared" si="2"/>
        <v>#N/A</v>
      </c>
      <c r="L15" s="171"/>
      <c r="M15" s="169" t="e">
        <f t="shared" si="3"/>
        <v>#N/A</v>
      </c>
      <c r="O15" s="94"/>
    </row>
    <row r="16" spans="1:15" s="81" customFormat="1" ht="19.5" customHeight="1" x14ac:dyDescent="0.2">
      <c r="A16" s="162" t="s">
        <v>200</v>
      </c>
      <c r="B16" s="163"/>
      <c r="C16" s="178" t="s">
        <v>205</v>
      </c>
      <c r="D16" s="167"/>
      <c r="E16" s="169" t="e">
        <f>VLOOKUP(B7,Total!B7:H83,5,FALSE)</f>
        <v>#N/A</v>
      </c>
      <c r="F16" s="170"/>
      <c r="G16" s="169" t="e">
        <f t="shared" si="0"/>
        <v>#N/A</v>
      </c>
      <c r="H16" s="170"/>
      <c r="I16" s="170" t="e">
        <f t="shared" si="1"/>
        <v>#N/A</v>
      </c>
      <c r="J16" s="171"/>
      <c r="K16" s="170" t="e">
        <f t="shared" si="2"/>
        <v>#N/A</v>
      </c>
      <c r="L16" s="171"/>
      <c r="M16" s="169" t="e">
        <f t="shared" si="3"/>
        <v>#N/A</v>
      </c>
      <c r="O16" s="94"/>
    </row>
    <row r="17" spans="1:15" s="81" customFormat="1" ht="19.5" customHeight="1" x14ac:dyDescent="0.2">
      <c r="A17" s="162" t="s">
        <v>201</v>
      </c>
      <c r="B17" s="163"/>
      <c r="C17" s="178" t="s">
        <v>205</v>
      </c>
      <c r="D17" s="167"/>
      <c r="E17" s="169" t="e">
        <f>VLOOKUP(B7,Total!B7:H83,6,FALSE)</f>
        <v>#N/A</v>
      </c>
      <c r="F17" s="170"/>
      <c r="G17" s="169" t="e">
        <f t="shared" si="0"/>
        <v>#N/A</v>
      </c>
      <c r="H17" s="170"/>
      <c r="I17" s="170" t="e">
        <f t="shared" si="1"/>
        <v>#N/A</v>
      </c>
      <c r="J17" s="171"/>
      <c r="K17" s="170" t="e">
        <f t="shared" si="2"/>
        <v>#N/A</v>
      </c>
      <c r="L17" s="171"/>
      <c r="M17" s="169" t="e">
        <f t="shared" si="3"/>
        <v>#N/A</v>
      </c>
      <c r="O17" s="94"/>
    </row>
    <row r="18" spans="1:15" s="81" customFormat="1" ht="19.5" customHeight="1" x14ac:dyDescent="0.2">
      <c r="A18" s="164" t="s">
        <v>392</v>
      </c>
      <c r="B18" s="159"/>
      <c r="C18" s="158"/>
      <c r="D18" s="157"/>
      <c r="E18" s="166" t="e">
        <f>VLOOKUP(B7,Total!B7:H83,7,FALSE)</f>
        <v>#N/A</v>
      </c>
      <c r="F18" s="160"/>
      <c r="G18" s="161" t="e">
        <f>SUM(G13:G17)</f>
        <v>#N/A</v>
      </c>
      <c r="H18" s="160"/>
      <c r="I18" s="160" t="e">
        <f>SUM(I13:I17)</f>
        <v>#N/A</v>
      </c>
      <c r="J18" s="165"/>
      <c r="K18" s="160" t="e">
        <f>SUM(K13:K17)</f>
        <v>#N/A</v>
      </c>
      <c r="L18" s="165"/>
      <c r="M18" s="161" t="e">
        <f>SUM(M13:M17)</f>
        <v>#N/A</v>
      </c>
      <c r="N18" s="168"/>
    </row>
    <row r="19" spans="1:15" x14ac:dyDescent="0.2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5" x14ac:dyDescent="0.2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5" ht="15.75" x14ac:dyDescent="0.25">
      <c r="A21" s="156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5" x14ac:dyDescent="0.2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5" x14ac:dyDescent="0.2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5" x14ac:dyDescent="0.2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</row>
    <row r="25" spans="1:15" x14ac:dyDescent="0.2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</row>
    <row r="26" spans="1:15" x14ac:dyDescent="0.2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5" x14ac:dyDescent="0.2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</row>
    <row r="28" spans="1:15" x14ac:dyDescent="0.2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</row>
    <row r="29" spans="1:15" x14ac:dyDescent="0.2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</row>
    <row r="30" spans="1:15" x14ac:dyDescent="0.2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</row>
    <row r="31" spans="1:15" x14ac:dyDescent="0.2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</row>
    <row r="32" spans="1:15" x14ac:dyDescent="0.2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</row>
    <row r="33" spans="1:13" x14ac:dyDescent="0.2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</row>
    <row r="34" spans="1:13" x14ac:dyDescent="0.2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</row>
    <row r="35" spans="1:13" x14ac:dyDescent="0.2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</row>
    <row r="36" spans="1:13" x14ac:dyDescent="0.2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</row>
    <row r="37" spans="1:13" x14ac:dyDescent="0.2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x14ac:dyDescent="0.2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</row>
    <row r="39" spans="1:13" x14ac:dyDescent="0.2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</row>
    <row r="40" spans="1:13" x14ac:dyDescent="0.2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</row>
    <row r="41" spans="1:13" x14ac:dyDescent="0.2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</row>
    <row r="42" spans="1:13" x14ac:dyDescent="0.2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hidden="1" x14ac:dyDescent="0.2">
      <c r="A43" s="80" t="s">
        <v>202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13" hidden="1" x14ac:dyDescent="0.2">
      <c r="A44" s="80" t="s">
        <v>28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</row>
    <row r="45" spans="1:13" hidden="1" x14ac:dyDescent="0.2">
      <c r="A45" s="80" t="s">
        <v>46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</row>
    <row r="46" spans="1:13" hidden="1" x14ac:dyDescent="0.2">
      <c r="A46" s="80" t="s">
        <v>76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</row>
    <row r="47" spans="1:13" hidden="1" x14ac:dyDescent="0.2">
      <c r="A47" s="80" t="s">
        <v>21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</row>
    <row r="48" spans="1:13" hidden="1" x14ac:dyDescent="0.2">
      <c r="A48" s="80" t="s">
        <v>40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</row>
    <row r="49" spans="1:13" hidden="1" x14ac:dyDescent="0.2">
      <c r="A49" s="80" t="s">
        <v>23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</row>
    <row r="50" spans="1:13" hidden="1" x14ac:dyDescent="0.2">
      <c r="A50" s="80" t="s">
        <v>49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</row>
    <row r="51" spans="1:13" hidden="1" x14ac:dyDescent="0.2">
      <c r="A51" s="80" t="s">
        <v>12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</row>
    <row r="52" spans="1:13" hidden="1" x14ac:dyDescent="0.2">
      <c r="A52" s="80" t="s">
        <v>22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</row>
    <row r="53" spans="1:13" hidden="1" x14ac:dyDescent="0.2">
      <c r="A53" s="80" t="s">
        <v>35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</row>
    <row r="54" spans="1:13" hidden="1" x14ac:dyDescent="0.2">
      <c r="A54" s="80" t="s">
        <v>61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</row>
    <row r="55" spans="1:13" hidden="1" x14ac:dyDescent="0.2">
      <c r="A55" s="80" t="s">
        <v>69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</row>
    <row r="56" spans="1:13" hidden="1" x14ac:dyDescent="0.2">
      <c r="A56" s="80" t="s">
        <v>24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</row>
    <row r="57" spans="1:13" hidden="1" x14ac:dyDescent="0.2">
      <c r="A57" s="80" t="s">
        <v>58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</row>
    <row r="58" spans="1:13" hidden="1" x14ac:dyDescent="0.2">
      <c r="A58" s="80" t="s">
        <v>15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</row>
    <row r="59" spans="1:13" hidden="1" x14ac:dyDescent="0.2">
      <c r="A59" s="80" t="s">
        <v>29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</row>
    <row r="60" spans="1:13" hidden="1" x14ac:dyDescent="0.2">
      <c r="A60" s="80" t="s">
        <v>55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</row>
    <row r="61" spans="1:13" hidden="1" x14ac:dyDescent="0.2">
      <c r="A61" s="80" t="s">
        <v>68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</row>
    <row r="62" spans="1:13" hidden="1" x14ac:dyDescent="0.2">
      <c r="A62" s="80" t="s">
        <v>43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</row>
    <row r="63" spans="1:13" hidden="1" x14ac:dyDescent="0.2">
      <c r="A63" s="80" t="s">
        <v>78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</row>
    <row r="64" spans="1:13" hidden="1" x14ac:dyDescent="0.2">
      <c r="A64" s="80" t="s">
        <v>33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</row>
    <row r="65" spans="1:13" hidden="1" x14ac:dyDescent="0.2">
      <c r="A65" s="80" t="s">
        <v>10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</row>
    <row r="66" spans="1:13" hidden="1" x14ac:dyDescent="0.2">
      <c r="A66" s="80" t="s">
        <v>51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</row>
    <row r="67" spans="1:13" hidden="1" x14ac:dyDescent="0.2">
      <c r="A67" s="80" t="s">
        <v>75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</row>
    <row r="68" spans="1:13" hidden="1" x14ac:dyDescent="0.2">
      <c r="A68" s="80" t="s">
        <v>34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</row>
    <row r="69" spans="1:13" hidden="1" x14ac:dyDescent="0.2">
      <c r="A69" s="80" t="s">
        <v>7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</row>
    <row r="70" spans="1:13" hidden="1" x14ac:dyDescent="0.2">
      <c r="A70" s="80" t="s">
        <v>65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</row>
    <row r="71" spans="1:13" hidden="1" x14ac:dyDescent="0.2">
      <c r="A71" s="80" t="s">
        <v>50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</row>
    <row r="72" spans="1:13" hidden="1" x14ac:dyDescent="0.2">
      <c r="A72" s="80" t="s">
        <v>64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</row>
    <row r="73" spans="1:13" hidden="1" x14ac:dyDescent="0.2">
      <c r="A73" s="80" t="s">
        <v>60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</row>
    <row r="74" spans="1:13" hidden="1" x14ac:dyDescent="0.2">
      <c r="A74" s="80" t="s">
        <v>62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</row>
    <row r="75" spans="1:13" hidden="1" x14ac:dyDescent="0.2">
      <c r="A75" s="80" t="s">
        <v>27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</row>
    <row r="76" spans="1:13" hidden="1" x14ac:dyDescent="0.2">
      <c r="A76" s="80" t="s">
        <v>42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</row>
    <row r="77" spans="1:13" hidden="1" x14ac:dyDescent="0.2">
      <c r="A77" s="80" t="s">
        <v>9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</row>
    <row r="78" spans="1:13" hidden="1" x14ac:dyDescent="0.2">
      <c r="A78" s="80" t="s">
        <v>63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</row>
    <row r="79" spans="1:13" hidden="1" x14ac:dyDescent="0.2">
      <c r="A79" s="80" t="s">
        <v>8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</row>
    <row r="80" spans="1:13" hidden="1" x14ac:dyDescent="0.2">
      <c r="A80" s="80" t="s">
        <v>384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</row>
    <row r="81" spans="1:13" hidden="1" x14ac:dyDescent="0.2">
      <c r="A81" s="80" t="s">
        <v>57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</row>
    <row r="82" spans="1:13" hidden="1" x14ac:dyDescent="0.2">
      <c r="A82" s="80" t="s">
        <v>73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</row>
    <row r="83" spans="1:13" hidden="1" x14ac:dyDescent="0.2">
      <c r="A83" s="80" t="s">
        <v>74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</row>
    <row r="84" spans="1:13" hidden="1" x14ac:dyDescent="0.2">
      <c r="A84" s="80" t="s">
        <v>72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</row>
    <row r="85" spans="1:13" hidden="1" x14ac:dyDescent="0.2">
      <c r="A85" s="80" t="s">
        <v>30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</row>
    <row r="86" spans="1:13" hidden="1" x14ac:dyDescent="0.2">
      <c r="A86" s="80" t="s">
        <v>66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</row>
    <row r="87" spans="1:13" hidden="1" x14ac:dyDescent="0.2">
      <c r="A87" s="80" t="s">
        <v>41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</row>
    <row r="88" spans="1:13" hidden="1" x14ac:dyDescent="0.2">
      <c r="A88" s="80" t="s">
        <v>45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</row>
    <row r="89" spans="1:13" hidden="1" x14ac:dyDescent="0.2">
      <c r="A89" s="80" t="s">
        <v>54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</row>
    <row r="90" spans="1:13" hidden="1" x14ac:dyDescent="0.2">
      <c r="A90" s="80" t="s">
        <v>26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</row>
    <row r="91" spans="1:13" hidden="1" x14ac:dyDescent="0.2">
      <c r="A91" s="80" t="s">
        <v>19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</row>
    <row r="92" spans="1:13" hidden="1" x14ac:dyDescent="0.2">
      <c r="A92" s="80" t="s">
        <v>17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</row>
    <row r="93" spans="1:13" hidden="1" x14ac:dyDescent="0.2">
      <c r="A93" s="80" t="s">
        <v>16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</row>
    <row r="94" spans="1:13" hidden="1" x14ac:dyDescent="0.2">
      <c r="A94" s="80" t="s">
        <v>31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</row>
    <row r="95" spans="1:13" hidden="1" x14ac:dyDescent="0.2">
      <c r="A95" s="80" t="s">
        <v>38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</row>
    <row r="96" spans="1:13" hidden="1" x14ac:dyDescent="0.2">
      <c r="A96" s="80" t="s">
        <v>48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</row>
    <row r="97" spans="1:13" hidden="1" x14ac:dyDescent="0.2">
      <c r="A97" s="80" t="s">
        <v>53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</row>
    <row r="98" spans="1:13" hidden="1" x14ac:dyDescent="0.2">
      <c r="A98" s="80" t="s">
        <v>32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</row>
    <row r="99" spans="1:13" hidden="1" x14ac:dyDescent="0.2">
      <c r="A99" s="80" t="s">
        <v>36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</row>
    <row r="100" spans="1:13" hidden="1" x14ac:dyDescent="0.2">
      <c r="A100" s="80" t="s">
        <v>5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</row>
    <row r="101" spans="1:13" hidden="1" x14ac:dyDescent="0.2">
      <c r="A101" s="80" t="s">
        <v>20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</row>
    <row r="102" spans="1:13" hidden="1" x14ac:dyDescent="0.2">
      <c r="A102" s="80" t="s">
        <v>11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</row>
    <row r="103" spans="1:13" hidden="1" x14ac:dyDescent="0.2">
      <c r="A103" s="80" t="s">
        <v>18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</row>
    <row r="104" spans="1:13" hidden="1" x14ac:dyDescent="0.2">
      <c r="A104" s="80" t="s">
        <v>13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</row>
    <row r="105" spans="1:13" hidden="1" x14ac:dyDescent="0.2">
      <c r="A105" s="80" t="s">
        <v>14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</row>
    <row r="106" spans="1:13" hidden="1" x14ac:dyDescent="0.2">
      <c r="A106" s="80" t="s">
        <v>52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</row>
    <row r="107" spans="1:13" hidden="1" x14ac:dyDescent="0.2">
      <c r="A107" s="80" t="s">
        <v>67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</row>
    <row r="108" spans="1:13" hidden="1" x14ac:dyDescent="0.2">
      <c r="A108" s="80" t="s">
        <v>39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</row>
    <row r="109" spans="1:13" hidden="1" x14ac:dyDescent="0.2">
      <c r="A109" s="80" t="s">
        <v>77</v>
      </c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</row>
    <row r="110" spans="1:13" hidden="1" x14ac:dyDescent="0.2">
      <c r="A110" s="80" t="s">
        <v>44</v>
      </c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</row>
    <row r="111" spans="1:13" hidden="1" x14ac:dyDescent="0.2">
      <c r="A111" s="80" t="s">
        <v>37</v>
      </c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</row>
    <row r="112" spans="1:13" hidden="1" x14ac:dyDescent="0.2">
      <c r="A112" s="80" t="s">
        <v>59</v>
      </c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</row>
    <row r="113" spans="1:13" hidden="1" x14ac:dyDescent="0.2">
      <c r="A113" s="80" t="s">
        <v>47</v>
      </c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</row>
    <row r="114" spans="1:13" hidden="1" x14ac:dyDescent="0.2">
      <c r="A114" s="80" t="s">
        <v>25</v>
      </c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</row>
    <row r="115" spans="1:13" hidden="1" x14ac:dyDescent="0.2">
      <c r="A115" s="80" t="s">
        <v>70</v>
      </c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</row>
    <row r="116" spans="1:13" hidden="1" x14ac:dyDescent="0.2">
      <c r="A116" s="80" t="s">
        <v>56</v>
      </c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</row>
    <row r="117" spans="1:13" hidden="1" x14ac:dyDescent="0.2">
      <c r="A117" s="80" t="s">
        <v>6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</row>
    <row r="118" spans="1:13" hidden="1" x14ac:dyDescent="0.2">
      <c r="A118" s="80" t="s">
        <v>71</v>
      </c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</row>
    <row r="119" spans="1:13" x14ac:dyDescent="0.2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</row>
    <row r="120" spans="1:13" x14ac:dyDescent="0.2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</row>
    <row r="121" spans="1:13" x14ac:dyDescent="0.2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</row>
    <row r="122" spans="1:13" x14ac:dyDescent="0.2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</row>
    <row r="123" spans="1:13" x14ac:dyDescent="0.2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</row>
    <row r="124" spans="1:13" x14ac:dyDescent="0.2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</row>
    <row r="125" spans="1:13" x14ac:dyDescent="0.2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</row>
    <row r="126" spans="1:13" x14ac:dyDescent="0.2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</row>
    <row r="127" spans="1:13" x14ac:dyDescent="0.2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</row>
    <row r="128" spans="1:13" x14ac:dyDescent="0.2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</row>
    <row r="129" spans="1:13" x14ac:dyDescent="0.2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</row>
    <row r="130" spans="1:13" x14ac:dyDescent="0.2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</row>
    <row r="131" spans="1:13" x14ac:dyDescent="0.2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</row>
    <row r="132" spans="1:13" x14ac:dyDescent="0.2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</row>
  </sheetData>
  <sheetProtection algorithmName="SHA-512" hashValue="CFVBf1D9qzuxBpeh/rlknWqoMpXVgHGrPr86DL+gp0u37+SNhAz7N4EcF4ayvM03A1nxmmzImWb601rRVYzuhQ==" saltValue="x5S8RJqebHsh3lLiE4xhFA==" spinCount="100000" sheet="1" selectLockedCells="1"/>
  <mergeCells count="1">
    <mergeCell ref="B7:E7"/>
  </mergeCells>
  <dataValidations count="1">
    <dataValidation type="list" allowBlank="1" showInputMessage="1" showErrorMessage="1" sqref="B7:C7">
      <formula1>$A$43:$A$118</formula1>
    </dataValidation>
  </dataValidations>
  <hyperlinks>
    <hyperlink ref="C13" location="'Details Ressourcenausgleich'!A1" display="Details"/>
    <hyperlink ref="C14" location="'Details SL Weite'!A1" display="Details"/>
    <hyperlink ref="C16" location="'Details SL Sozio'!A1" display="Details"/>
    <hyperlink ref="C17" location="'Details SL Stadt SG'!A1" display="Details"/>
    <hyperlink ref="C15" location="'Details SL Schule'!A1" display="Details"/>
  </hyperlinks>
  <pageMargins left="0.31496062992125984" right="0.31496062992125984" top="0.59055118110236227" bottom="0.59055118110236227" header="0.31496062992125984" footer="0.31496062992125984"/>
  <pageSetup paperSize="9" scale="90" orientation="landscape" r:id="rId1"/>
  <headerFooter>
    <oddFooter>&amp;C&amp;P von &amp;N&amp;R&amp;D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52"/>
  <sheetViews>
    <sheetView showGridLines="0" workbookViewId="0">
      <selection activeCell="A182" sqref="A182"/>
    </sheetView>
  </sheetViews>
  <sheetFormatPr baseColWidth="10" defaultRowHeight="12.75" x14ac:dyDescent="0.2"/>
  <cols>
    <col min="1" max="1" width="4.140625" bestFit="1" customWidth="1"/>
    <col min="2" max="2" width="41.5703125" customWidth="1"/>
    <col min="3" max="3" width="22.42578125" customWidth="1"/>
    <col min="4" max="4" width="22.42578125" bestFit="1" customWidth="1"/>
  </cols>
  <sheetData>
    <row r="1" spans="1:4" x14ac:dyDescent="0.2">
      <c r="A1" s="82" t="s">
        <v>194</v>
      </c>
    </row>
    <row r="2" spans="1:4" x14ac:dyDescent="0.2">
      <c r="A2" t="s">
        <v>195</v>
      </c>
    </row>
    <row r="5" spans="1:4" ht="26.25" x14ac:dyDescent="0.4">
      <c r="A5" s="18" t="s">
        <v>361</v>
      </c>
      <c r="B5" s="3"/>
    </row>
    <row r="6" spans="1:4" x14ac:dyDescent="0.2">
      <c r="A6" s="3"/>
      <c r="B6" s="3"/>
    </row>
    <row r="7" spans="1:4" x14ac:dyDescent="0.2">
      <c r="A7" s="3"/>
      <c r="B7" s="20" t="s">
        <v>203</v>
      </c>
    </row>
    <row r="8" spans="1:4" s="83" customFormat="1" x14ac:dyDescent="0.2">
      <c r="A8" s="38"/>
      <c r="B8" s="38"/>
    </row>
    <row r="9" spans="1:4" x14ac:dyDescent="0.2">
      <c r="A9" s="21"/>
      <c r="B9" s="21"/>
      <c r="C9" s="90" t="s">
        <v>79</v>
      </c>
      <c r="D9" s="90" t="str">
        <f>Finanzausgleichsbeiträge!B7</f>
        <v>bitte Gemeinde auswählen</v>
      </c>
    </row>
    <row r="10" spans="1:4" x14ac:dyDescent="0.2">
      <c r="A10" s="3"/>
      <c r="B10" s="3"/>
    </row>
    <row r="11" spans="1:4" ht="15.75" x14ac:dyDescent="0.25">
      <c r="A11" s="22" t="s">
        <v>97</v>
      </c>
      <c r="B11" s="23" t="str">
        <f>'Ressourcenausgleich Basis'!B10</f>
        <v>Steuerdaten 2021</v>
      </c>
      <c r="C11" s="23"/>
      <c r="D11" s="7"/>
    </row>
    <row r="12" spans="1:4" x14ac:dyDescent="0.2">
      <c r="A12" s="3"/>
      <c r="B12" s="24"/>
      <c r="C12" s="24"/>
      <c r="D12" s="3"/>
    </row>
    <row r="13" spans="1:4" x14ac:dyDescent="0.2">
      <c r="A13" s="25" t="s">
        <v>147</v>
      </c>
      <c r="B13" s="26" t="str">
        <f>'Ressourcenausgleich Basis'!B12</f>
        <v>Einkommens-/Vermögenssteuer</v>
      </c>
      <c r="C13" s="27"/>
      <c r="D13" s="27"/>
    </row>
    <row r="14" spans="1:4" x14ac:dyDescent="0.2">
      <c r="A14" s="3"/>
      <c r="B14" s="28" t="str">
        <f>'Ressourcenausgleich Basis'!B13</f>
        <v>Steuerfuss</v>
      </c>
      <c r="C14" s="89">
        <f>HLOOKUP(C$9,'Ressourcenausgleich Basis'!$C$8:$BZ$151,6,FALSE)</f>
        <v>1.1429653812687708</v>
      </c>
      <c r="D14" s="92" t="e">
        <f>HLOOKUP(D$9,'Ressourcenausgleich Basis'!$C$8:$BZ$151,6,FALSE)</f>
        <v>#N/A</v>
      </c>
    </row>
    <row r="15" spans="1:4" x14ac:dyDescent="0.2">
      <c r="A15" s="30"/>
      <c r="B15" s="31"/>
      <c r="C15" s="88"/>
      <c r="D15" s="29"/>
    </row>
    <row r="16" spans="1:4" x14ac:dyDescent="0.2">
      <c r="A16" s="3"/>
      <c r="B16" s="33" t="str">
        <f>'Ressourcenausgleich Basis'!B15</f>
        <v>Einfache Steuer Brutto</v>
      </c>
      <c r="C16" s="73">
        <f>HLOOKUP(C$9,'Ressourcenausgleich Basis'!$C$8:$BZ$151,8,FALSE)</f>
        <v>1134522070.1199999</v>
      </c>
      <c r="D16" s="84" t="e">
        <f>HLOOKUP(D$9,'Ressourcenausgleich Basis'!$C$8:$BZ$151,8,FALSE)</f>
        <v>#N/A</v>
      </c>
    </row>
    <row r="17" spans="1:4" x14ac:dyDescent="0.2">
      <c r="A17" s="3"/>
      <c r="B17" s="33" t="str">
        <f>'Ressourcenausgleich Basis'!B16</f>
        <v>Abschreibungen</v>
      </c>
      <c r="C17" s="73">
        <f>HLOOKUP(C$9,'Ressourcenausgleich Basis'!$C$8:$BZ$151,9,FALSE)</f>
        <v>6223197.275780485</v>
      </c>
      <c r="D17" s="84" t="e">
        <f>HLOOKUP(D$9,'Ressourcenausgleich Basis'!$C$8:$BZ$151,9,FALSE)</f>
        <v>#N/A</v>
      </c>
    </row>
    <row r="18" spans="1:4" x14ac:dyDescent="0.2">
      <c r="A18" s="3"/>
      <c r="B18" s="33" t="str">
        <f>'Ressourcenausgleich Basis'!B17</f>
        <v>Einfache Steuer Netto</v>
      </c>
      <c r="C18" s="73">
        <f>HLOOKUP(C$9,'Ressourcenausgleich Basis'!$C$8:$BZ$151,10,FALSE)</f>
        <v>1128298872.8442192</v>
      </c>
      <c r="D18" s="85" t="e">
        <f>HLOOKUP(D$9,'Ressourcenausgleich Basis'!$C$8:$BZ$151,10,FALSE)</f>
        <v>#N/A</v>
      </c>
    </row>
    <row r="19" spans="1:4" x14ac:dyDescent="0.2">
      <c r="A19" s="3"/>
      <c r="B19" s="33"/>
      <c r="C19" s="88"/>
      <c r="D19" s="29"/>
    </row>
    <row r="20" spans="1:4" x14ac:dyDescent="0.2">
      <c r="A20" s="3"/>
      <c r="B20" s="33" t="str">
        <f>'Ressourcenausgleich Basis'!B19</f>
        <v>Effektiver Nettoertrag</v>
      </c>
      <c r="C20" s="5">
        <f>HLOOKUP(C$9,'Ressourcenausgleich Basis'!$C$8:$BZ$151,12,FALSE)</f>
        <v>1289606551.3855174</v>
      </c>
      <c r="D20" s="12" t="e">
        <f>HLOOKUP($D$9,'Ressourcenausgleich Basis'!$C$8:$BZ$151,12,FALSE)</f>
        <v>#N/A</v>
      </c>
    </row>
    <row r="21" spans="1:4" x14ac:dyDescent="0.2">
      <c r="A21" s="3"/>
      <c r="B21" s="33"/>
      <c r="C21" s="38"/>
      <c r="D21" s="3"/>
    </row>
    <row r="22" spans="1:4" x14ac:dyDescent="0.2">
      <c r="A22" s="21"/>
      <c r="B22" s="21" t="str">
        <f>'Ressourcenausgleich Basis'!B21</f>
        <v>Standardisierter Ertrag</v>
      </c>
      <c r="C22" s="34">
        <f>HLOOKUP(C$9,'Ressourcenausgleich Basis'!$C$8:$BZ$151,14,FALSE)</f>
        <v>1289606551.3855174</v>
      </c>
      <c r="D22" s="34" t="e">
        <f>HLOOKUP($D$9,'Ressourcenausgleich Basis'!$C$8:$BZ$151,14,FALSE)</f>
        <v>#N/A</v>
      </c>
    </row>
    <row r="23" spans="1:4" x14ac:dyDescent="0.2">
      <c r="A23" s="3"/>
      <c r="B23" s="33"/>
      <c r="C23" s="3"/>
      <c r="D23" s="3"/>
    </row>
    <row r="24" spans="1:4" x14ac:dyDescent="0.2">
      <c r="A24" s="35" t="s">
        <v>148</v>
      </c>
      <c r="B24" s="26" t="str">
        <f>'Ressourcenausgleich Basis'!B23</f>
        <v>Quellensteuer</v>
      </c>
      <c r="C24" s="35"/>
      <c r="D24" s="35"/>
    </row>
    <row r="25" spans="1:4" x14ac:dyDescent="0.2">
      <c r="A25" s="3"/>
      <c r="B25" s="30" t="str">
        <f>'Ressourcenausgleich Basis'!B24</f>
        <v>Bruttoertrag</v>
      </c>
      <c r="C25" s="1">
        <f>HLOOKUP(C$9,'Ressourcenausgleich Basis'!$C$8:$BZ$151,17,FALSE)</f>
        <v>65715613.349999979</v>
      </c>
      <c r="D25" s="9" t="e">
        <f>HLOOKUP(D$9,'Ressourcenausgleich Basis'!$C$8:$BZ$151,17,FALSE)</f>
        <v>#N/A</v>
      </c>
    </row>
    <row r="26" spans="1:4" x14ac:dyDescent="0.2">
      <c r="A26" s="3"/>
      <c r="B26" s="30" t="str">
        <f>'Ressourcenausgleich Basis'!B25</f>
        <v>Abschreibungen</v>
      </c>
      <c r="C26" s="1">
        <f>HLOOKUP(C$9,'Ressourcenausgleich Basis'!$C$8:$BZ$151,18,FALSE)</f>
        <v>518564.5199999999</v>
      </c>
      <c r="D26" s="9" t="e">
        <f>HLOOKUP(D$9,'Ressourcenausgleich Basis'!$C$8:$BZ$151,18,FALSE)</f>
        <v>#N/A</v>
      </c>
    </row>
    <row r="27" spans="1:4" x14ac:dyDescent="0.2">
      <c r="A27" s="21"/>
      <c r="B27" s="32" t="str">
        <f>'Ressourcenausgleich Basis'!B26</f>
        <v>Nettoertrag (standardisierter Ertrag)</v>
      </c>
      <c r="C27" s="15">
        <f>HLOOKUP(C$9,'Ressourcenausgleich Basis'!$C$8:$BZ$151,19,FALSE)</f>
        <v>65197048.829999983</v>
      </c>
      <c r="D27" s="34" t="e">
        <f>HLOOKUP(D$9,'Ressourcenausgleich Basis'!$C$8:$BZ$151,19,FALSE)</f>
        <v>#N/A</v>
      </c>
    </row>
    <row r="28" spans="1:4" x14ac:dyDescent="0.2">
      <c r="A28" s="3"/>
      <c r="B28" s="30"/>
      <c r="C28" s="3"/>
      <c r="D28" s="3"/>
    </row>
    <row r="29" spans="1:4" x14ac:dyDescent="0.2">
      <c r="A29" s="35" t="s">
        <v>149</v>
      </c>
      <c r="B29" s="26" t="str">
        <f>'Ressourcenausgleich Basis'!B28</f>
        <v>Gewinn- und Kapitalsteuer</v>
      </c>
      <c r="C29" s="35"/>
      <c r="D29" s="35"/>
    </row>
    <row r="30" spans="1:4" x14ac:dyDescent="0.2">
      <c r="A30" s="3"/>
      <c r="B30" s="30" t="str">
        <f>'Ressourcenausgleich Basis'!B29</f>
        <v>Bruttoertrag</v>
      </c>
      <c r="C30" s="1">
        <f>HLOOKUP(C$9,'Ressourcenausgleich Basis'!$C$8:$BZ$151,22,FALSE)</f>
        <v>159039026.70000002</v>
      </c>
      <c r="D30" s="9" t="e">
        <f>HLOOKUP(D$9,'Ressourcenausgleich Basis'!$C$8:$BZ$151,22,FALSE)</f>
        <v>#N/A</v>
      </c>
    </row>
    <row r="31" spans="1:4" x14ac:dyDescent="0.2">
      <c r="A31" s="3"/>
      <c r="B31" s="30" t="str">
        <f>'Ressourcenausgleich Basis'!B30</f>
        <v>Abschreibungen</v>
      </c>
      <c r="C31" s="1">
        <f>HLOOKUP(C$9,'Ressourcenausgleich Basis'!$C$8:$BZ$151,23,FALSE)</f>
        <v>2536648.6499999985</v>
      </c>
      <c r="D31" s="9" t="e">
        <f>HLOOKUP(D$9,'Ressourcenausgleich Basis'!$C$8:$BZ$151,23,FALSE)</f>
        <v>#N/A</v>
      </c>
    </row>
    <row r="32" spans="1:4" x14ac:dyDescent="0.2">
      <c r="A32" s="38"/>
      <c r="B32" s="30" t="str">
        <f>'Ressourcenausgleich Basis'!B31</f>
        <v>pauschale Steueranrechnung</v>
      </c>
      <c r="C32" s="1">
        <f>HLOOKUP(C$9,'Ressourcenausgleich Basis'!$C$8:$BZ$151,24,FALSE)</f>
        <v>491849.59999999992</v>
      </c>
      <c r="D32" s="9" t="e">
        <f>HLOOKUP(D$9,'Ressourcenausgleich Basis'!$C$8:$BZ$151,24,FALSE)</f>
        <v>#N/A</v>
      </c>
    </row>
    <row r="33" spans="1:4" x14ac:dyDescent="0.2">
      <c r="A33" s="21"/>
      <c r="B33" s="32" t="str">
        <f>'Ressourcenausgleich Basis'!B32</f>
        <v>Nettoertrag (standardisierter Ertrag)</v>
      </c>
      <c r="C33" s="15">
        <f>HLOOKUP(C$9,'Ressourcenausgleich Basis'!$C$8:$BZ$151,25,FALSE)</f>
        <v>156010528.44999999</v>
      </c>
      <c r="D33" s="15" t="e">
        <f>HLOOKUP(D$9,'Ressourcenausgleich Basis'!$C$8:$BZ$151,25,FALSE)</f>
        <v>#N/A</v>
      </c>
    </row>
    <row r="34" spans="1:4" x14ac:dyDescent="0.2">
      <c r="A34" s="3"/>
      <c r="B34" s="30"/>
      <c r="C34" s="3"/>
      <c r="D34" s="3"/>
    </row>
    <row r="35" spans="1:4" x14ac:dyDescent="0.2">
      <c r="A35" s="35" t="s">
        <v>150</v>
      </c>
      <c r="B35" s="26" t="str">
        <f>'Ressourcenausgleich Basis'!B34</f>
        <v>Grundsteuer (ord. Satz)</v>
      </c>
      <c r="C35" s="35"/>
      <c r="D35" s="35"/>
    </row>
    <row r="36" spans="1:4" x14ac:dyDescent="0.2">
      <c r="A36" s="3"/>
      <c r="B36" s="30" t="str">
        <f>'Ressourcenausgleich Basis'!B35</f>
        <v>Steuersatz in ‰</v>
      </c>
      <c r="C36" s="1">
        <f>HLOOKUP(C$9,'Ressourcenausgleich Basis'!$C$8:$BZ$151,28,FALSE)</f>
        <v>0.69041462225426131</v>
      </c>
      <c r="D36" s="9" t="e">
        <f>HLOOKUP(D$9,'Ressourcenausgleich Basis'!$C$8:$BZ$151,28,FALSE)</f>
        <v>#N/A</v>
      </c>
    </row>
    <row r="37" spans="1:4" x14ac:dyDescent="0.2">
      <c r="A37" s="3"/>
      <c r="B37" s="40"/>
      <c r="C37" s="38"/>
      <c r="D37" s="3"/>
    </row>
    <row r="38" spans="1:4" x14ac:dyDescent="0.2">
      <c r="A38" s="3"/>
      <c r="B38" s="30" t="str">
        <f>'Ressourcenausgleich Basis'!B37</f>
        <v>Bruttoertrag</v>
      </c>
      <c r="C38" s="1">
        <f>HLOOKUP(C$9,'Ressourcenausgleich Basis'!$C$8:$BZ$151,30,FALSE)</f>
        <v>96105130.140000015</v>
      </c>
      <c r="D38" s="9" t="e">
        <f>HLOOKUP(D$9,'Ressourcenausgleich Basis'!$C$8:$BZ$151,30,FALSE)</f>
        <v>#N/A</v>
      </c>
    </row>
    <row r="39" spans="1:4" x14ac:dyDescent="0.2">
      <c r="A39" s="3"/>
      <c r="B39" s="30" t="str">
        <f>'Ressourcenausgleich Basis'!B38</f>
        <v>Erlasse/Verluste</v>
      </c>
      <c r="C39" s="1">
        <f>HLOOKUP(C$9,'Ressourcenausgleich Basis'!$C$8:$BZ$151,31,FALSE)</f>
        <v>5602.84</v>
      </c>
      <c r="D39" s="9" t="e">
        <f>HLOOKUP(D$9,'Ressourcenausgleich Basis'!$C$8:$BZ$151,31,FALSE)</f>
        <v>#N/A</v>
      </c>
    </row>
    <row r="40" spans="1:4" x14ac:dyDescent="0.2">
      <c r="A40" s="3"/>
      <c r="B40" s="30" t="str">
        <f>'Ressourcenausgleich Basis'!B39</f>
        <v>Nettoertrag</v>
      </c>
      <c r="C40" s="4">
        <f>HLOOKUP(C$9,'Ressourcenausgleich Basis'!$C$8:$BZ$151,32,FALSE)</f>
        <v>96099527.300000027</v>
      </c>
      <c r="D40" s="4" t="e">
        <f>HLOOKUP(D$9,'Ressourcenausgleich Basis'!$C$8:$BZ$151,32,FALSE)</f>
        <v>#N/A</v>
      </c>
    </row>
    <row r="41" spans="1:4" x14ac:dyDescent="0.2">
      <c r="A41" s="3"/>
      <c r="B41" s="30"/>
      <c r="C41" s="3"/>
      <c r="D41" s="3"/>
    </row>
    <row r="42" spans="1:4" x14ac:dyDescent="0.2">
      <c r="A42" s="3"/>
      <c r="B42" s="30" t="str">
        <f>'Ressourcenausgleich Basis'!B41</f>
        <v>Ertrag bei Satz von 1‰</v>
      </c>
      <c r="C42" s="4">
        <f>HLOOKUP(C$9,'Ressourcenausgleich Basis'!$C$8:$BZ$151,34,FALSE)</f>
        <v>139191037.09916666</v>
      </c>
      <c r="D42" s="4" t="e">
        <f>HLOOKUP(D$9,'Ressourcenausgleich Basis'!$C$8:$BZ$151,34,FALSE)</f>
        <v>#N/A</v>
      </c>
    </row>
    <row r="43" spans="1:4" x14ac:dyDescent="0.2">
      <c r="A43" s="3"/>
      <c r="B43" s="30"/>
      <c r="C43" s="3"/>
      <c r="D43" s="3"/>
    </row>
    <row r="44" spans="1:4" x14ac:dyDescent="0.2">
      <c r="A44" s="3"/>
      <c r="B44" s="32" t="str">
        <f>'Ressourcenausgleich Basis'!B43</f>
        <v>Standardisierter Ertrag</v>
      </c>
      <c r="C44" s="15">
        <f>HLOOKUP(C$9,'Ressourcenausgleich Basis'!$C$8:$BZ$151,36,FALSE)</f>
        <v>96099527.300000027</v>
      </c>
      <c r="D44" s="15" t="e">
        <f>HLOOKUP(D$9,'Ressourcenausgleich Basis'!$C$8:$BZ$151,36,FALSE)</f>
        <v>#N/A</v>
      </c>
    </row>
    <row r="45" spans="1:4" x14ac:dyDescent="0.2">
      <c r="A45" s="3"/>
      <c r="B45" s="30"/>
      <c r="C45" s="3"/>
      <c r="D45" s="3"/>
    </row>
    <row r="46" spans="1:4" x14ac:dyDescent="0.2">
      <c r="A46" s="35" t="s">
        <v>151</v>
      </c>
      <c r="B46" s="26" t="str">
        <f>'Ressourcenausgleich Basis'!B45</f>
        <v>Grundsteuer (Spezialsatz)</v>
      </c>
      <c r="C46" s="35"/>
      <c r="D46" s="35"/>
    </row>
    <row r="47" spans="1:4" x14ac:dyDescent="0.2">
      <c r="A47" s="3"/>
      <c r="B47" s="30" t="str">
        <f>'Ressourcenausgleich Basis'!B46</f>
        <v>Bruttoertrag</v>
      </c>
      <c r="C47" s="1">
        <f>HLOOKUP(C$9,'Ressourcenausgleich Basis'!$C$8:$BZ$151,39,FALSE)</f>
        <v>1565417.9599999997</v>
      </c>
      <c r="D47" s="9" t="e">
        <f>HLOOKUP(D$9,'Ressourcenausgleich Basis'!$C$8:$BZ$151,39,FALSE)</f>
        <v>#N/A</v>
      </c>
    </row>
    <row r="48" spans="1:4" x14ac:dyDescent="0.2">
      <c r="A48" s="3"/>
      <c r="B48" s="30" t="str">
        <f>'Ressourcenausgleich Basis'!B47</f>
        <v>Erlasse/Verluste</v>
      </c>
      <c r="C48" s="1">
        <f>HLOOKUP(C$9,'Ressourcenausgleich Basis'!$C$8:$BZ$151,40,FALSE)</f>
        <v>11.899999999999999</v>
      </c>
      <c r="D48" s="9" t="e">
        <f>HLOOKUP(D$9,'Ressourcenausgleich Basis'!$C$8:$BZ$151,40,FALSE)</f>
        <v>#N/A</v>
      </c>
    </row>
    <row r="49" spans="1:4" x14ac:dyDescent="0.2">
      <c r="A49" s="21"/>
      <c r="B49" s="32" t="str">
        <f>'Ressourcenausgleich Basis'!B48</f>
        <v>Nettoertrag (standardisierter Ertrag)</v>
      </c>
      <c r="C49" s="34">
        <f>HLOOKUP(C$9,'Ressourcenausgleich Basis'!$C$8:$BZ$151,41,FALSE)</f>
        <v>1565406.0599999996</v>
      </c>
      <c r="D49" s="34" t="e">
        <f>HLOOKUP(D$9,'Ressourcenausgleich Basis'!$C$8:$BZ$151,41,FALSE)</f>
        <v>#N/A</v>
      </c>
    </row>
    <row r="50" spans="1:4" x14ac:dyDescent="0.2">
      <c r="A50" s="3"/>
      <c r="B50" s="30"/>
      <c r="C50" s="3"/>
      <c r="D50" s="3"/>
    </row>
    <row r="51" spans="1:4" x14ac:dyDescent="0.2">
      <c r="A51" s="35" t="s">
        <v>152</v>
      </c>
      <c r="B51" s="26" t="str">
        <f>'Ressourcenausgleich Basis'!B50</f>
        <v>Handänderungssteuer</v>
      </c>
      <c r="C51" s="35"/>
      <c r="D51" s="35"/>
    </row>
    <row r="52" spans="1:4" x14ac:dyDescent="0.2">
      <c r="A52" s="3"/>
      <c r="B52" s="30" t="str">
        <f>'Ressourcenausgleich Basis'!B51</f>
        <v>Bruttoertrag</v>
      </c>
      <c r="C52" s="1">
        <f>HLOOKUP(C$9,'Ressourcenausgleich Basis'!$C$8:$BZ$151,44,FALSE)</f>
        <v>64401961.040000014</v>
      </c>
      <c r="D52" s="9" t="e">
        <f>HLOOKUP(D$9,'Ressourcenausgleich Basis'!$C$8:$BZ$151,44,FALSE)</f>
        <v>#N/A</v>
      </c>
    </row>
    <row r="53" spans="1:4" x14ac:dyDescent="0.2">
      <c r="A53" s="3"/>
      <c r="B53" s="30" t="str">
        <f>'Ressourcenausgleich Basis'!B52</f>
        <v>Erlasse/Verluste</v>
      </c>
      <c r="C53" s="1">
        <f>HLOOKUP(C$9,'Ressourcenausgleich Basis'!$C$8:$BZ$151,45,FALSE)</f>
        <v>0</v>
      </c>
      <c r="D53" s="9" t="e">
        <f>HLOOKUP(D$9,'Ressourcenausgleich Basis'!$C$8:$BZ$151,45,FALSE)</f>
        <v>#N/A</v>
      </c>
    </row>
    <row r="54" spans="1:4" x14ac:dyDescent="0.2">
      <c r="A54" s="21"/>
      <c r="B54" s="32" t="str">
        <f>'Ressourcenausgleich Basis'!B53</f>
        <v>Nettoertrag (standardisierter Ertrag)</v>
      </c>
      <c r="C54" s="34">
        <f>HLOOKUP(C$9,'Ressourcenausgleich Basis'!$C$8:$BZ$151,46,FALSE)</f>
        <v>64401961.040000014</v>
      </c>
      <c r="D54" s="34" t="e">
        <f>HLOOKUP(D$9,'Ressourcenausgleich Basis'!$C$8:$BZ$151,46,FALSE)</f>
        <v>#N/A</v>
      </c>
    </row>
    <row r="55" spans="1:4" x14ac:dyDescent="0.2">
      <c r="A55" s="3"/>
      <c r="B55" s="30"/>
      <c r="C55" s="3"/>
      <c r="D55" s="3"/>
    </row>
    <row r="56" spans="1:4" x14ac:dyDescent="0.2">
      <c r="A56" s="35" t="s">
        <v>153</v>
      </c>
      <c r="B56" s="26" t="str">
        <f>'Ressourcenausgleich Basis'!B55</f>
        <v>Grundstückgewinnsteuer</v>
      </c>
      <c r="C56" s="35"/>
      <c r="D56" s="35"/>
    </row>
    <row r="57" spans="1:4" x14ac:dyDescent="0.2">
      <c r="A57" s="3"/>
      <c r="B57" s="30" t="str">
        <f>'Ressourcenausgleich Basis'!B56</f>
        <v>Bruttoertrag</v>
      </c>
      <c r="C57" s="86">
        <f>HLOOKUP(C$9,'Ressourcenausgleich Basis'!$C$8:$BZ$151,49,FALSE)</f>
        <v>99175891.799999997</v>
      </c>
      <c r="D57" s="41" t="e">
        <f>HLOOKUP(D$9,'Ressourcenausgleich Basis'!$C$8:$BZ$151,49,FALSE)</f>
        <v>#N/A</v>
      </c>
    </row>
    <row r="58" spans="1:4" x14ac:dyDescent="0.2">
      <c r="A58" s="3"/>
      <c r="B58" s="30" t="str">
        <f>'Ressourcenausgleich Basis'!B57</f>
        <v>Abschreibungen</v>
      </c>
      <c r="C58" s="86">
        <f>HLOOKUP(C$9,'Ressourcenausgleich Basis'!$C$8:$BZ$151,50,FALSE)</f>
        <v>13515.499999999995</v>
      </c>
      <c r="D58" s="41" t="e">
        <f>HLOOKUP(D$9,'Ressourcenausgleich Basis'!$C$8:$BZ$151,50,FALSE)</f>
        <v>#N/A</v>
      </c>
    </row>
    <row r="59" spans="1:4" x14ac:dyDescent="0.2">
      <c r="A59" s="21"/>
      <c r="B59" s="32" t="str">
        <f>'Ressourcenausgleich Basis'!B58</f>
        <v>Nettoertrag (standardisierter Ertrag)</v>
      </c>
      <c r="C59" s="87">
        <f>HLOOKUP(C$9,'Ressourcenausgleich Basis'!$C$8:$BZ$151,51,FALSE)</f>
        <v>99162376.300000027</v>
      </c>
      <c r="D59" s="42" t="e">
        <f>HLOOKUP(D$9,'Ressourcenausgleich Basis'!$C$8:$BZ$151,51,FALSE)</f>
        <v>#N/A</v>
      </c>
    </row>
    <row r="60" spans="1:4" x14ac:dyDescent="0.2">
      <c r="A60" s="3"/>
      <c r="B60" s="30"/>
      <c r="C60" s="3"/>
      <c r="D60" s="3"/>
    </row>
    <row r="61" spans="1:4" x14ac:dyDescent="0.2">
      <c r="A61" s="3"/>
      <c r="B61" s="24"/>
      <c r="C61" s="3"/>
      <c r="D61" s="3"/>
    </row>
    <row r="62" spans="1:4" ht="15.75" x14ac:dyDescent="0.25">
      <c r="A62" s="22" t="s">
        <v>98</v>
      </c>
      <c r="B62" s="23" t="str">
        <f>'Ressourcenausgleich Basis'!B61</f>
        <v>Steuerdaten 2020</v>
      </c>
      <c r="C62" s="7"/>
      <c r="D62" s="7"/>
    </row>
    <row r="63" spans="1:4" x14ac:dyDescent="0.2">
      <c r="A63" s="3"/>
      <c r="B63" s="24"/>
      <c r="C63" s="5"/>
      <c r="D63" s="5"/>
    </row>
    <row r="64" spans="1:4" x14ac:dyDescent="0.2">
      <c r="A64" s="35" t="s">
        <v>128</v>
      </c>
      <c r="B64" s="26" t="str">
        <f>'Ressourcenausgleich Basis'!B63</f>
        <v>Einkommens-/Vermögenssteuer</v>
      </c>
      <c r="C64" s="13"/>
      <c r="D64" s="13"/>
    </row>
    <row r="65" spans="1:4" x14ac:dyDescent="0.2">
      <c r="A65" s="3"/>
      <c r="B65" s="28" t="str">
        <f>'Ressourcenausgleich Basis'!B64</f>
        <v>Steuerfuss</v>
      </c>
      <c r="C65" s="66">
        <f>HLOOKUP(C$9,'Ressourcenausgleich Basis'!$C$8:$BZ$151,57,FALSE)</f>
        <v>1.1484069232492122</v>
      </c>
      <c r="D65" s="10" t="e">
        <f>HLOOKUP(D$9,'Ressourcenausgleich Basis'!$C$8:$BZ$151,57,FALSE)</f>
        <v>#N/A</v>
      </c>
    </row>
    <row r="66" spans="1:4" x14ac:dyDescent="0.2">
      <c r="A66" s="38"/>
      <c r="B66" s="31"/>
      <c r="C66" s="5"/>
      <c r="D66" s="5"/>
    </row>
    <row r="67" spans="1:4" x14ac:dyDescent="0.2">
      <c r="A67" s="3"/>
      <c r="B67" s="33" t="str">
        <f>'Ressourcenausgleich Basis'!B66</f>
        <v>Einfache Steuer Brutto</v>
      </c>
      <c r="C67" s="36">
        <f>HLOOKUP(C$9,'Ressourcenausgleich Basis'!$C$8:$BZ$151,59,FALSE)</f>
        <v>1152235037.3200002</v>
      </c>
      <c r="D67" s="44" t="e">
        <f>HLOOKUP(D$9,'Ressourcenausgleich Basis'!$C$8:$BZ$151,59,FALSE)</f>
        <v>#N/A</v>
      </c>
    </row>
    <row r="68" spans="1:4" x14ac:dyDescent="0.2">
      <c r="A68" s="3"/>
      <c r="B68" s="33" t="str">
        <f>'Ressourcenausgleich Basis'!B67</f>
        <v>Abschreibungen</v>
      </c>
      <c r="C68" s="36">
        <f>HLOOKUP(C$9,'Ressourcenausgleich Basis'!$C$8:$BZ$151,60,FALSE)</f>
        <v>5141509.556629343</v>
      </c>
      <c r="D68" s="44" t="e">
        <f>HLOOKUP(D$9,'Ressourcenausgleich Basis'!$C$8:$BZ$151,60,FALSE)</f>
        <v>#N/A</v>
      </c>
    </row>
    <row r="69" spans="1:4" x14ac:dyDescent="0.2">
      <c r="A69" s="3"/>
      <c r="B69" s="33" t="str">
        <f>'Ressourcenausgleich Basis'!B68</f>
        <v>Einfache Steuer Netto</v>
      </c>
      <c r="C69" s="5">
        <f>HLOOKUP(C$9,'Ressourcenausgleich Basis'!$C$8:$BZ$151,61,FALSE)</f>
        <v>1147093527.7633705</v>
      </c>
      <c r="D69" s="5" t="e">
        <f>HLOOKUP(D$9,'Ressourcenausgleich Basis'!$C$8:$BZ$151,61,FALSE)</f>
        <v>#N/A</v>
      </c>
    </row>
    <row r="70" spans="1:4" x14ac:dyDescent="0.2">
      <c r="A70" s="3"/>
      <c r="B70" s="33"/>
      <c r="C70" s="5"/>
      <c r="D70" s="5"/>
    </row>
    <row r="71" spans="1:4" x14ac:dyDescent="0.2">
      <c r="A71" s="3"/>
      <c r="B71" s="33" t="str">
        <f>'Ressourcenausgleich Basis'!B70</f>
        <v>Effektiver Nettoertrag</v>
      </c>
      <c r="C71" s="5">
        <f>HLOOKUP(C$9,'Ressourcenausgleich Basis'!$C$8:$BZ$151,63,FALSE)</f>
        <v>1317330148.8978171</v>
      </c>
      <c r="D71" s="5" t="e">
        <f>HLOOKUP(D$9,'Ressourcenausgleich Basis'!$C$8:$BZ$151,63,FALSE)</f>
        <v>#N/A</v>
      </c>
    </row>
    <row r="72" spans="1:4" x14ac:dyDescent="0.2">
      <c r="A72" s="3"/>
      <c r="B72" s="33"/>
      <c r="C72" s="5"/>
      <c r="D72" s="5"/>
    </row>
    <row r="73" spans="1:4" x14ac:dyDescent="0.2">
      <c r="A73" s="21"/>
      <c r="B73" s="21" t="str">
        <f>'Ressourcenausgleich Basis'!B72</f>
        <v>Standardisierter Ertrag</v>
      </c>
      <c r="C73" s="15">
        <f>HLOOKUP(C$9,'Ressourcenausgleich Basis'!$C$8:$BZ$151,65,FALSE)</f>
        <v>1317330148.8978171</v>
      </c>
      <c r="D73" s="15" t="e">
        <f>HLOOKUP(D$9,'Ressourcenausgleich Basis'!$C$8:$BZ$151,65,FALSE)</f>
        <v>#N/A</v>
      </c>
    </row>
    <row r="74" spans="1:4" x14ac:dyDescent="0.2">
      <c r="A74" s="3"/>
      <c r="B74" s="33"/>
      <c r="C74" s="5"/>
      <c r="D74" s="5"/>
    </row>
    <row r="75" spans="1:4" x14ac:dyDescent="0.2">
      <c r="A75" s="25" t="s">
        <v>129</v>
      </c>
      <c r="B75" s="26" t="str">
        <f>'Ressourcenausgleich Basis'!B74</f>
        <v>Quellensteuer</v>
      </c>
      <c r="C75" s="16"/>
      <c r="D75" s="16"/>
    </row>
    <row r="76" spans="1:4" x14ac:dyDescent="0.2">
      <c r="A76" s="3"/>
      <c r="B76" s="30" t="str">
        <f>'Ressourcenausgleich Basis'!B75</f>
        <v>Bruttoertrag</v>
      </c>
      <c r="C76" s="1">
        <f>HLOOKUP(C$9,'Ressourcenausgleich Basis'!$C$8:$BZ$151,68,FALSE)</f>
        <v>67738965.849999964</v>
      </c>
      <c r="D76" s="9" t="e">
        <f>HLOOKUP(D$9,'Ressourcenausgleich Basis'!$C$8:$BZ$151,68,FALSE)</f>
        <v>#N/A</v>
      </c>
    </row>
    <row r="77" spans="1:4" x14ac:dyDescent="0.2">
      <c r="A77" s="3"/>
      <c r="B77" s="30" t="str">
        <f>'Ressourcenausgleich Basis'!B76</f>
        <v>Abschreibungen</v>
      </c>
      <c r="C77" s="1">
        <f>HLOOKUP(C$9,'Ressourcenausgleich Basis'!$C$8:$BZ$151,69,FALSE)</f>
        <v>711972.88000000047</v>
      </c>
      <c r="D77" s="9" t="e">
        <f>HLOOKUP(D$9,'Ressourcenausgleich Basis'!$C$8:$BZ$151,69,FALSE)</f>
        <v>#N/A</v>
      </c>
    </row>
    <row r="78" spans="1:4" x14ac:dyDescent="0.2">
      <c r="A78" s="21"/>
      <c r="B78" s="32" t="str">
        <f>'Ressourcenausgleich Basis'!B77</f>
        <v>Nettoertrag (standardisierter Ertrag)</v>
      </c>
      <c r="C78" s="15">
        <f>HLOOKUP(C$9,'Ressourcenausgleich Basis'!$C$8:$BZ$151,70,FALSE)</f>
        <v>67026992.969999984</v>
      </c>
      <c r="D78" s="15" t="e">
        <f>HLOOKUP(D$9,'Ressourcenausgleich Basis'!$C$8:$BZ$151,70,FALSE)</f>
        <v>#N/A</v>
      </c>
    </row>
    <row r="79" spans="1:4" x14ac:dyDescent="0.2">
      <c r="A79" s="3"/>
      <c r="B79" s="30"/>
      <c r="C79" s="5"/>
      <c r="D79" s="5"/>
    </row>
    <row r="80" spans="1:4" x14ac:dyDescent="0.2">
      <c r="A80" s="25" t="s">
        <v>137</v>
      </c>
      <c r="B80" s="26" t="str">
        <f>'Ressourcenausgleich Basis'!B79</f>
        <v>Gewinn- und Kapitalsteuer</v>
      </c>
      <c r="C80" s="16"/>
      <c r="D80" s="16"/>
    </row>
    <row r="81" spans="1:4" x14ac:dyDescent="0.2">
      <c r="A81" s="3"/>
      <c r="B81" s="30" t="str">
        <f>'Ressourcenausgleich Basis'!B80</f>
        <v>Bruttoertrag</v>
      </c>
      <c r="C81" s="1">
        <f>HLOOKUP(C$9,'Ressourcenausgleich Basis'!$C$8:$BZ$151,73,FALSE)</f>
        <v>198382281.34999999</v>
      </c>
      <c r="D81" s="9" t="e">
        <f>HLOOKUP(D$9,'Ressourcenausgleich Basis'!$C$8:$BZ$151,73,FALSE)</f>
        <v>#N/A</v>
      </c>
    </row>
    <row r="82" spans="1:4" x14ac:dyDescent="0.2">
      <c r="A82" s="3"/>
      <c r="B82" s="30" t="str">
        <f>'Ressourcenausgleich Basis'!B81</f>
        <v>Abschreibungen</v>
      </c>
      <c r="C82" s="1">
        <f>HLOOKUP(C$9,'Ressourcenausgleich Basis'!$C$8:$BZ$151,74,FALSE)</f>
        <v>2213415.9500000011</v>
      </c>
      <c r="D82" s="9" t="e">
        <f>HLOOKUP(D$9,'Ressourcenausgleich Basis'!$C$8:$BZ$151,74,FALSE)</f>
        <v>#N/A</v>
      </c>
    </row>
    <row r="83" spans="1:4" x14ac:dyDescent="0.2">
      <c r="A83" s="3"/>
      <c r="B83" s="30" t="str">
        <f>'Ressourcenausgleich Basis'!B82</f>
        <v>pauschale Steueranrechnung</v>
      </c>
      <c r="C83" s="5">
        <f>HLOOKUP(C$9,'Ressourcenausgleich Basis'!$C$8:$BZ$151,75,FALSE)</f>
        <v>1851465.8500000003</v>
      </c>
      <c r="D83" s="12" t="e">
        <f>HLOOKUP(D$9,'Ressourcenausgleich Basis'!$C$8:$BZ$151,75,FALSE)</f>
        <v>#N/A</v>
      </c>
    </row>
    <row r="84" spans="1:4" x14ac:dyDescent="0.2">
      <c r="A84" s="21"/>
      <c r="B84" s="32" t="str">
        <f>'Ressourcenausgleich Basis'!B83</f>
        <v>Nettoertrag (standardisierter Ertrag)</v>
      </c>
      <c r="C84" s="15">
        <f>HLOOKUP(C$9,'Ressourcenausgleich Basis'!$C$8:$BZ$151,76,FALSE)</f>
        <v>194317399.55000007</v>
      </c>
      <c r="D84" s="15" t="e">
        <f>HLOOKUP(D$9,'Ressourcenausgleich Basis'!$C$8:$BZ$151,76,FALSE)</f>
        <v>#N/A</v>
      </c>
    </row>
    <row r="85" spans="1:4" x14ac:dyDescent="0.2">
      <c r="A85" s="3"/>
      <c r="B85" s="30"/>
      <c r="C85" s="5"/>
      <c r="D85" s="5"/>
    </row>
    <row r="86" spans="1:4" x14ac:dyDescent="0.2">
      <c r="A86" s="25" t="s">
        <v>143</v>
      </c>
      <c r="B86" s="26" t="str">
        <f>'Ressourcenausgleich Basis'!B85</f>
        <v>Grundsteuer (ord. Satz)</v>
      </c>
      <c r="C86" s="16"/>
      <c r="D86" s="16"/>
    </row>
    <row r="87" spans="1:4" x14ac:dyDescent="0.2">
      <c r="A87" s="3"/>
      <c r="B87" s="30" t="str">
        <f>'Ressourcenausgleich Basis'!B86</f>
        <v>Steuersatz in ‰</v>
      </c>
      <c r="C87" s="5">
        <f>HLOOKUP(C$9,'Ressourcenausgleich Basis'!$C$8:$BZ$151,79,FALSE)</f>
        <v>0.69220144744871159</v>
      </c>
      <c r="D87" s="12" t="e">
        <f>HLOOKUP(D$9,'Ressourcenausgleich Basis'!$C$8:$BZ$151,79,FALSE)</f>
        <v>#N/A</v>
      </c>
    </row>
    <row r="88" spans="1:4" x14ac:dyDescent="0.2">
      <c r="A88" s="3"/>
      <c r="B88" s="40"/>
      <c r="C88" s="5"/>
      <c r="D88" s="5"/>
    </row>
    <row r="89" spans="1:4" x14ac:dyDescent="0.2">
      <c r="A89" s="3"/>
      <c r="B89" s="30" t="str">
        <f>'Ressourcenausgleich Basis'!B88</f>
        <v>Bruttoertrag</v>
      </c>
      <c r="C89" s="5">
        <f>HLOOKUP(C$9,'Ressourcenausgleich Basis'!$C$8:$BZ$151,81,FALSE)</f>
        <v>93103524.079999998</v>
      </c>
      <c r="D89" s="12" t="e">
        <f>HLOOKUP(D$9,'Ressourcenausgleich Basis'!$C$8:$BZ$151,81,FALSE)</f>
        <v>#N/A</v>
      </c>
    </row>
    <row r="90" spans="1:4" x14ac:dyDescent="0.2">
      <c r="A90" s="3"/>
      <c r="B90" s="30" t="str">
        <f>'Ressourcenausgleich Basis'!B89</f>
        <v>Erlasse/Verluste</v>
      </c>
      <c r="C90" s="5">
        <f>HLOOKUP(C$9,'Ressourcenausgleich Basis'!$C$8:$BZ$151,82,FALSE)</f>
        <v>5735.05</v>
      </c>
      <c r="D90" s="12" t="e">
        <f>HLOOKUP(D$9,'Ressourcenausgleich Basis'!$C$8:$BZ$151,82,FALSE)</f>
        <v>#N/A</v>
      </c>
    </row>
    <row r="91" spans="1:4" x14ac:dyDescent="0.2">
      <c r="A91" s="3"/>
      <c r="B91" s="30" t="str">
        <f>'Ressourcenausgleich Basis'!B90</f>
        <v>Nettoertrag</v>
      </c>
      <c r="C91" s="5">
        <f>HLOOKUP(C$9,'Ressourcenausgleich Basis'!$C$8:$BZ$151,83,FALSE)</f>
        <v>93097789.029999986</v>
      </c>
      <c r="D91" s="5" t="e">
        <f>HLOOKUP(D$9,'Ressourcenausgleich Basis'!$C$8:$BZ$151,83,FALSE)</f>
        <v>#N/A</v>
      </c>
    </row>
    <row r="92" spans="1:4" x14ac:dyDescent="0.2">
      <c r="A92" s="3"/>
      <c r="B92" s="30"/>
      <c r="C92" s="5"/>
      <c r="D92" s="5"/>
    </row>
    <row r="93" spans="1:4" x14ac:dyDescent="0.2">
      <c r="A93" s="3"/>
      <c r="B93" s="30" t="str">
        <f>'Ressourcenausgleich Basis'!B92</f>
        <v>Ertrag bei Satz von 1‰</v>
      </c>
      <c r="C93" s="5">
        <f>HLOOKUP(C$9,'Ressourcenausgleich Basis'!$C$8:$BZ$151,85,FALSE)</f>
        <v>134495224.43666667</v>
      </c>
      <c r="D93" s="5" t="e">
        <f>HLOOKUP(D$9,'Ressourcenausgleich Basis'!$C$8:$BZ$151,85,FALSE)</f>
        <v>#N/A</v>
      </c>
    </row>
    <row r="94" spans="1:4" x14ac:dyDescent="0.2">
      <c r="A94" s="3"/>
      <c r="B94" s="30"/>
      <c r="C94" s="5"/>
      <c r="D94" s="5"/>
    </row>
    <row r="95" spans="1:4" x14ac:dyDescent="0.2">
      <c r="A95" s="21"/>
      <c r="B95" s="32" t="str">
        <f>'Ressourcenausgleich Basis'!B94</f>
        <v>Standardisierter Ertrag</v>
      </c>
      <c r="C95" s="15">
        <f>HLOOKUP(C$9,'Ressourcenausgleich Basis'!$C$8:$BZ$151,87,FALSE)</f>
        <v>93097789.029999986</v>
      </c>
      <c r="D95" s="15" t="e">
        <f>HLOOKUP(D$9,'Ressourcenausgleich Basis'!$C$8:$BZ$151,87,FALSE)</f>
        <v>#N/A</v>
      </c>
    </row>
    <row r="96" spans="1:4" x14ac:dyDescent="0.2">
      <c r="A96" s="3"/>
      <c r="B96" s="30"/>
      <c r="C96" s="5"/>
      <c r="D96" s="5"/>
    </row>
    <row r="97" spans="1:4" x14ac:dyDescent="0.2">
      <c r="A97" s="25" t="s">
        <v>154</v>
      </c>
      <c r="B97" s="26" t="str">
        <f>'Ressourcenausgleich Basis'!B96</f>
        <v>Grundsteuer (Spezialsatz)</v>
      </c>
      <c r="C97" s="16"/>
      <c r="D97" s="16"/>
    </row>
    <row r="98" spans="1:4" x14ac:dyDescent="0.2">
      <c r="A98" s="3"/>
      <c r="B98" s="30" t="str">
        <f>'Ressourcenausgleich Basis'!B97</f>
        <v>Bruttoertrag</v>
      </c>
      <c r="C98" s="5">
        <f>HLOOKUP(C$9,'Ressourcenausgleich Basis'!$C$8:$BZ$151,90,FALSE)</f>
        <v>1540926.8599999994</v>
      </c>
      <c r="D98" s="12" t="e">
        <f>HLOOKUP(D$9,'Ressourcenausgleich Basis'!$C$8:$BZ$151,90,FALSE)</f>
        <v>#N/A</v>
      </c>
    </row>
    <row r="99" spans="1:4" x14ac:dyDescent="0.2">
      <c r="A99" s="3"/>
      <c r="B99" s="30" t="str">
        <f>'Ressourcenausgleich Basis'!B98</f>
        <v>Erlasse/Verluste</v>
      </c>
      <c r="C99" s="5">
        <f>HLOOKUP(C$9,'Ressourcenausgleich Basis'!$C$8:$BZ$151,91,FALSE)</f>
        <v>24.55</v>
      </c>
      <c r="D99" s="12" t="e">
        <f>HLOOKUP(D$9,'Ressourcenausgleich Basis'!$C$8:$BZ$151,91,FALSE)</f>
        <v>#N/A</v>
      </c>
    </row>
    <row r="100" spans="1:4" x14ac:dyDescent="0.2">
      <c r="A100" s="21"/>
      <c r="B100" s="32" t="str">
        <f>'Ressourcenausgleich Basis'!B99</f>
        <v>Nettoertrag (standardisierter Ertrag)</v>
      </c>
      <c r="C100" s="15">
        <f>HLOOKUP(C$9,'Ressourcenausgleich Basis'!$C$8:$BZ$151,92,FALSE)</f>
        <v>1540902.3099999996</v>
      </c>
      <c r="D100" s="15" t="e">
        <f>HLOOKUP(D$9,'Ressourcenausgleich Basis'!$C$8:$BZ$151,92,FALSE)</f>
        <v>#N/A</v>
      </c>
    </row>
    <row r="101" spans="1:4" x14ac:dyDescent="0.2">
      <c r="A101" s="3"/>
      <c r="B101" s="30"/>
      <c r="C101" s="5"/>
      <c r="D101" s="5"/>
    </row>
    <row r="102" spans="1:4" x14ac:dyDescent="0.2">
      <c r="A102" s="25" t="s">
        <v>155</v>
      </c>
      <c r="B102" s="26" t="str">
        <f>'Ressourcenausgleich Basis'!B101</f>
        <v>Handänderungssteuer</v>
      </c>
      <c r="C102" s="16"/>
      <c r="D102" s="16"/>
    </row>
    <row r="103" spans="1:4" x14ac:dyDescent="0.2">
      <c r="A103" s="3"/>
      <c r="B103" s="30" t="str">
        <f>'Ressourcenausgleich Basis'!B102</f>
        <v>Bruttoertrag</v>
      </c>
      <c r="C103" s="5">
        <f>HLOOKUP(C$9,'Ressourcenausgleich Basis'!$C$8:$BZ$151,95,FALSE)</f>
        <v>56849110.349999994</v>
      </c>
      <c r="D103" s="12" t="e">
        <f>HLOOKUP(D$9,'Ressourcenausgleich Basis'!$C$8:$BZ$151,95,FALSE)</f>
        <v>#N/A</v>
      </c>
    </row>
    <row r="104" spans="1:4" x14ac:dyDescent="0.2">
      <c r="A104" s="3"/>
      <c r="B104" s="30" t="str">
        <f>'Ressourcenausgleich Basis'!B103</f>
        <v>Erlasse/Verluste</v>
      </c>
      <c r="C104" s="5">
        <f>HLOOKUP(C$9,'Ressourcenausgleich Basis'!$C$8:$BZ$151,96,FALSE)</f>
        <v>3550</v>
      </c>
      <c r="D104" s="12" t="e">
        <f>HLOOKUP(D$9,'Ressourcenausgleich Basis'!$C$8:$BZ$151,96,FALSE)</f>
        <v>#N/A</v>
      </c>
    </row>
    <row r="105" spans="1:4" x14ac:dyDescent="0.2">
      <c r="A105" s="21"/>
      <c r="B105" s="32" t="str">
        <f>'Ressourcenausgleich Basis'!B104</f>
        <v>Nettoertrag (standardisierter Ertrag)</v>
      </c>
      <c r="C105" s="15">
        <f>HLOOKUP(C$9,'Ressourcenausgleich Basis'!$C$8:$BZ$151,97,FALSE)</f>
        <v>56845560.349999994</v>
      </c>
      <c r="D105" s="15" t="e">
        <f>HLOOKUP(D$9,'Ressourcenausgleich Basis'!$C$8:$BZ$151,97,FALSE)</f>
        <v>#N/A</v>
      </c>
    </row>
    <row r="106" spans="1:4" x14ac:dyDescent="0.2">
      <c r="A106" s="3"/>
      <c r="B106" s="30"/>
      <c r="C106" s="5"/>
      <c r="D106" s="5"/>
    </row>
    <row r="107" spans="1:4" x14ac:dyDescent="0.2">
      <c r="A107" s="25" t="s">
        <v>156</v>
      </c>
      <c r="B107" s="26" t="str">
        <f>'Ressourcenausgleich Basis'!B106</f>
        <v>Grundstückgewinnsteuer</v>
      </c>
      <c r="C107" s="16"/>
      <c r="D107" s="16"/>
    </row>
    <row r="108" spans="1:4" x14ac:dyDescent="0.2">
      <c r="A108" s="3"/>
      <c r="B108" s="30" t="str">
        <f>'Ressourcenausgleich Basis'!B107</f>
        <v>Bruttoertrag</v>
      </c>
      <c r="C108" s="1">
        <f>HLOOKUP(C$9,'Ressourcenausgleich Basis'!$C$8:$BZ$151,100,FALSE)</f>
        <v>75616147.550000012</v>
      </c>
      <c r="D108" s="9" t="e">
        <f>HLOOKUP(D$9,'Ressourcenausgleich Basis'!$C$8:$BZ$151,100,FALSE)</f>
        <v>#N/A</v>
      </c>
    </row>
    <row r="109" spans="1:4" x14ac:dyDescent="0.2">
      <c r="A109" s="3"/>
      <c r="B109" s="30" t="str">
        <f>'Ressourcenausgleich Basis'!B108</f>
        <v>Abschreibungen</v>
      </c>
      <c r="C109" s="1">
        <f>HLOOKUP(C$9,'Ressourcenausgleich Basis'!$C$8:$BZ$151,101,FALSE)</f>
        <v>3516.3500000000004</v>
      </c>
      <c r="D109" s="9" t="e">
        <f>HLOOKUP(D$9,'Ressourcenausgleich Basis'!$C$8:$BZ$151,101,FALSE)</f>
        <v>#N/A</v>
      </c>
    </row>
    <row r="110" spans="1:4" x14ac:dyDescent="0.2">
      <c r="A110" s="21"/>
      <c r="B110" s="32" t="str">
        <f>'Ressourcenausgleich Basis'!B109</f>
        <v>Nettoertrag (standardisierter Ertrag)</v>
      </c>
      <c r="C110" s="15">
        <f>HLOOKUP(C$9,'Ressourcenausgleich Basis'!$C$8:$BZ$151,102,FALSE)</f>
        <v>75612631.199999988</v>
      </c>
      <c r="D110" s="15" t="e">
        <f>HLOOKUP(D$9,'Ressourcenausgleich Basis'!$C$8:$BZ$151,102,FALSE)</f>
        <v>#N/A</v>
      </c>
    </row>
    <row r="111" spans="1:4" x14ac:dyDescent="0.2">
      <c r="A111" s="3"/>
      <c r="B111" s="30"/>
      <c r="C111" s="5"/>
      <c r="D111" s="5"/>
    </row>
    <row r="112" spans="1:4" x14ac:dyDescent="0.2">
      <c r="A112" s="3"/>
      <c r="B112" s="30"/>
      <c r="C112" s="5"/>
      <c r="D112" s="5"/>
    </row>
    <row r="113" spans="1:4" ht="15.75" x14ac:dyDescent="0.25">
      <c r="A113" s="22" t="s">
        <v>99</v>
      </c>
      <c r="B113" s="22" t="str">
        <f>'Ressourcenausgleich Basis'!B112</f>
        <v>Berechnung der technischen Steuerkraft</v>
      </c>
      <c r="C113" s="46"/>
      <c r="D113" s="46"/>
    </row>
    <row r="114" spans="1:4" x14ac:dyDescent="0.2">
      <c r="A114" s="3"/>
      <c r="B114" s="30"/>
      <c r="C114" s="5"/>
      <c r="D114" s="5"/>
    </row>
    <row r="115" spans="1:4" x14ac:dyDescent="0.2">
      <c r="A115" s="35" t="s">
        <v>157</v>
      </c>
      <c r="B115" s="27" t="str">
        <f>'Ressourcenausgleich Basis'!B114</f>
        <v>Technische Steuerkraft 2021</v>
      </c>
      <c r="C115" s="13"/>
      <c r="D115" s="13"/>
    </row>
    <row r="116" spans="1:4" x14ac:dyDescent="0.2">
      <c r="A116" s="3"/>
      <c r="B116" s="30" t="str">
        <f>'Ressourcenausgleich Basis'!B115</f>
        <v>Einkommens-/Vermögenssteuer</v>
      </c>
      <c r="C116" s="47">
        <f>HLOOKUP(C$9,'Ressourcenausgleich Basis'!$C$8:$BZ$151,108,FALSE)</f>
        <v>1289606551.3855174</v>
      </c>
      <c r="D116" s="47" t="e">
        <f>HLOOKUP(D$9,'Ressourcenausgleich Basis'!$C$8:$BZ$151,108,FALSE)</f>
        <v>#N/A</v>
      </c>
    </row>
    <row r="117" spans="1:4" x14ac:dyDescent="0.2">
      <c r="A117" s="3"/>
      <c r="B117" s="30" t="str">
        <f>'Ressourcenausgleich Basis'!B116</f>
        <v>Quellensteuer</v>
      </c>
      <c r="C117" s="47">
        <f>HLOOKUP(C$9,'Ressourcenausgleich Basis'!$C$8:$BZ$151,109,FALSE)</f>
        <v>65197048.829999983</v>
      </c>
      <c r="D117" s="47" t="e">
        <f>HLOOKUP(D$9,'Ressourcenausgleich Basis'!$C$8:$BZ$151,109,FALSE)</f>
        <v>#N/A</v>
      </c>
    </row>
    <row r="118" spans="1:4" x14ac:dyDescent="0.2">
      <c r="A118" s="3"/>
      <c r="B118" s="30" t="str">
        <f>'Ressourcenausgleich Basis'!B117</f>
        <v>Gewinn- und Kapitalsteuer</v>
      </c>
      <c r="C118" s="47">
        <f>HLOOKUP(C$9,'Ressourcenausgleich Basis'!$C$8:$BZ$151,110,FALSE)</f>
        <v>156010528.44999999</v>
      </c>
      <c r="D118" s="47" t="e">
        <f>HLOOKUP(D$9,'Ressourcenausgleich Basis'!$C$8:$BZ$151,110,FALSE)</f>
        <v>#N/A</v>
      </c>
    </row>
    <row r="119" spans="1:4" x14ac:dyDescent="0.2">
      <c r="A119" s="3"/>
      <c r="B119" s="30" t="str">
        <f>'Ressourcenausgleich Basis'!B118</f>
        <v>Grundsteuer (ord. Satz)</v>
      </c>
      <c r="C119" s="47">
        <f>HLOOKUP(C$9,'Ressourcenausgleich Basis'!$C$8:$BZ$151,111,FALSE)</f>
        <v>96099527.300000027</v>
      </c>
      <c r="D119" s="47" t="e">
        <f>HLOOKUP(D$9,'Ressourcenausgleich Basis'!$C$8:$BZ$151,111,FALSE)</f>
        <v>#N/A</v>
      </c>
    </row>
    <row r="120" spans="1:4" x14ac:dyDescent="0.2">
      <c r="A120" s="3"/>
      <c r="B120" s="33" t="str">
        <f>'Ressourcenausgleich Basis'!B119</f>
        <v>Grundsteuer (Spezialsatz)</v>
      </c>
      <c r="C120" s="47">
        <f>HLOOKUP(C$9,'Ressourcenausgleich Basis'!$C$8:$BZ$151,112,FALSE)</f>
        <v>1565406.0599999996</v>
      </c>
      <c r="D120" s="47" t="e">
        <f>HLOOKUP(D$9,'Ressourcenausgleich Basis'!$C$8:$BZ$151,112,FALSE)</f>
        <v>#N/A</v>
      </c>
    </row>
    <row r="121" spans="1:4" x14ac:dyDescent="0.2">
      <c r="A121" s="3"/>
      <c r="B121" s="33" t="str">
        <f>'Ressourcenausgleich Basis'!B120</f>
        <v>Handänderungssteuer</v>
      </c>
      <c r="C121" s="47">
        <f>HLOOKUP(C$9,'Ressourcenausgleich Basis'!$C$8:$BZ$151,113,FALSE)</f>
        <v>64401961.040000014</v>
      </c>
      <c r="D121" s="47" t="e">
        <f>HLOOKUP(D$9,'Ressourcenausgleich Basis'!$C$8:$BZ$151,113,FALSE)</f>
        <v>#N/A</v>
      </c>
    </row>
    <row r="122" spans="1:4" x14ac:dyDescent="0.2">
      <c r="A122" s="3"/>
      <c r="B122" s="33" t="str">
        <f>'Ressourcenausgleich Basis'!B121</f>
        <v>Grundstückgewinnsteuer</v>
      </c>
      <c r="C122" s="47">
        <f>HLOOKUP(C$9,'Ressourcenausgleich Basis'!$C$8:$BZ$151,114,FALSE)</f>
        <v>99162376.300000027</v>
      </c>
      <c r="D122" s="47" t="e">
        <f>HLOOKUP(D$9,'Ressourcenausgleich Basis'!$C$8:$BZ$151,114,FALSE)</f>
        <v>#N/A</v>
      </c>
    </row>
    <row r="123" spans="1:4" x14ac:dyDescent="0.2">
      <c r="A123" s="3"/>
      <c r="B123" s="33" t="str">
        <f>'Ressourcenausgleich Basis'!B122</f>
        <v>Total</v>
      </c>
      <c r="C123" s="47">
        <f>HLOOKUP(C$9,'Ressourcenausgleich Basis'!$C$8:$BZ$151,115,FALSE)</f>
        <v>1772043399.3655171</v>
      </c>
      <c r="D123" s="47" t="e">
        <f>HLOOKUP(D$9,'Ressourcenausgleich Basis'!$C$8:$BZ$151,115,FALSE)</f>
        <v>#N/A</v>
      </c>
    </row>
    <row r="124" spans="1:4" x14ac:dyDescent="0.2">
      <c r="A124" s="3"/>
      <c r="B124" s="33"/>
      <c r="C124" s="3"/>
      <c r="D124" s="3"/>
    </row>
    <row r="125" spans="1:4" x14ac:dyDescent="0.2">
      <c r="A125" s="3"/>
      <c r="B125" s="33" t="str">
        <f>'Ressourcenausgleich Basis'!B124</f>
        <v>Einwohnerzahl per 31.12.</v>
      </c>
      <c r="C125" s="48">
        <f>HLOOKUP(C$9,'Ressourcenausgleich Basis'!$C$8:$BZ$151,117,FALSE)</f>
        <v>519245</v>
      </c>
      <c r="D125" s="72" t="e">
        <f>HLOOKUP(D$9,'Ressourcenausgleich Basis'!$C$8:$BZ$151,117,FALSE)</f>
        <v>#N/A</v>
      </c>
    </row>
    <row r="126" spans="1:4" x14ac:dyDescent="0.2">
      <c r="A126" s="3"/>
      <c r="B126" s="33"/>
      <c r="C126" s="3"/>
      <c r="D126" s="3"/>
    </row>
    <row r="127" spans="1:4" x14ac:dyDescent="0.2">
      <c r="A127" s="21"/>
      <c r="B127" s="21" t="str">
        <f>'Ressourcenausgleich Basis'!B126</f>
        <v>Technische Steuerkraft pro Einwohner</v>
      </c>
      <c r="C127" s="50">
        <f>HLOOKUP(C$9,'Ressourcenausgleich Basis'!$C$8:$BZ$151,119,FALSE)</f>
        <v>3412.7307906008091</v>
      </c>
      <c r="D127" s="50" t="e">
        <f>HLOOKUP(D$9,'Ressourcenausgleich Basis'!$C$8:$BZ$151,119,FALSE)</f>
        <v>#N/A</v>
      </c>
    </row>
    <row r="128" spans="1:4" x14ac:dyDescent="0.2">
      <c r="A128" s="3"/>
      <c r="B128" s="30"/>
      <c r="C128" s="5"/>
      <c r="D128" s="5"/>
    </row>
    <row r="129" spans="1:4" x14ac:dyDescent="0.2">
      <c r="A129" s="35" t="s">
        <v>158</v>
      </c>
      <c r="B129" s="27" t="str">
        <f>'Ressourcenausgleich Basis'!B128</f>
        <v>Technische Steuerkraft 2020</v>
      </c>
      <c r="C129" s="13"/>
      <c r="D129" s="13"/>
    </row>
    <row r="130" spans="1:4" x14ac:dyDescent="0.2">
      <c r="A130" s="3"/>
      <c r="B130" s="30" t="str">
        <f>'Ressourcenausgleich Basis'!B129</f>
        <v>Einkommens-/Vermögenssteuer</v>
      </c>
      <c r="C130" s="5">
        <f>HLOOKUP(C$9,'Ressourcenausgleich Basis'!$C$8:$BZ$151,122,FALSE)</f>
        <v>1317330148.8978171</v>
      </c>
      <c r="D130" s="5" t="e">
        <f>HLOOKUP(D$9,'Ressourcenausgleich Basis'!$C$8:$BZ$151,122,FALSE)</f>
        <v>#N/A</v>
      </c>
    </row>
    <row r="131" spans="1:4" x14ac:dyDescent="0.2">
      <c r="A131" s="3"/>
      <c r="B131" s="30" t="str">
        <f>'Ressourcenausgleich Basis'!B130</f>
        <v>Quellensteuer</v>
      </c>
      <c r="C131" s="5">
        <f>HLOOKUP(C$9,'Ressourcenausgleich Basis'!$C$8:$BZ$151,123,FALSE)</f>
        <v>67026992.969999984</v>
      </c>
      <c r="D131" s="5" t="e">
        <f>HLOOKUP(D$9,'Ressourcenausgleich Basis'!$C$8:$BZ$151,123,FALSE)</f>
        <v>#N/A</v>
      </c>
    </row>
    <row r="132" spans="1:4" x14ac:dyDescent="0.2">
      <c r="A132" s="3"/>
      <c r="B132" s="30" t="str">
        <f>'Ressourcenausgleich Basis'!B131</f>
        <v>Gewinn- und Kapitalsteuer</v>
      </c>
      <c r="C132" s="5">
        <f>HLOOKUP(C$9,'Ressourcenausgleich Basis'!$C$8:$BZ$151,124,FALSE)</f>
        <v>194317399.55000007</v>
      </c>
      <c r="D132" s="5" t="e">
        <f>HLOOKUP(D$9,'Ressourcenausgleich Basis'!$C$8:$BZ$151,124,FALSE)</f>
        <v>#N/A</v>
      </c>
    </row>
    <row r="133" spans="1:4" x14ac:dyDescent="0.2">
      <c r="A133" s="3"/>
      <c r="B133" s="30" t="str">
        <f>'Ressourcenausgleich Basis'!B132</f>
        <v>Grundsteuer (ord. Satz)</v>
      </c>
      <c r="C133" s="5">
        <f>HLOOKUP(C$9,'Ressourcenausgleich Basis'!$C$8:$BZ$151,125,FALSE)</f>
        <v>93097789.029999986</v>
      </c>
      <c r="D133" s="5" t="e">
        <f>HLOOKUP(D$9,'Ressourcenausgleich Basis'!$C$8:$BZ$151,125,FALSE)</f>
        <v>#N/A</v>
      </c>
    </row>
    <row r="134" spans="1:4" x14ac:dyDescent="0.2">
      <c r="A134" s="3"/>
      <c r="B134" s="33" t="str">
        <f>'Ressourcenausgleich Basis'!B133</f>
        <v>Grundsteuer (Spezialsatz)</v>
      </c>
      <c r="C134" s="5">
        <f>HLOOKUP(C$9,'Ressourcenausgleich Basis'!$C$8:$BZ$151,126,FALSE)</f>
        <v>1540902.3099999996</v>
      </c>
      <c r="D134" s="5" t="e">
        <f>HLOOKUP(D$9,'Ressourcenausgleich Basis'!$C$8:$BZ$151,126,FALSE)</f>
        <v>#N/A</v>
      </c>
    </row>
    <row r="135" spans="1:4" x14ac:dyDescent="0.2">
      <c r="A135" s="3"/>
      <c r="B135" s="33" t="str">
        <f>'Ressourcenausgleich Basis'!B134</f>
        <v>Handänderungssteuer</v>
      </c>
      <c r="C135" s="5">
        <f>HLOOKUP(C$9,'Ressourcenausgleich Basis'!$C$8:$BZ$151,127,FALSE)</f>
        <v>56845560.349999994</v>
      </c>
      <c r="D135" s="5" t="e">
        <f>HLOOKUP(D$9,'Ressourcenausgleich Basis'!$C$8:$BZ$151,127,FALSE)</f>
        <v>#N/A</v>
      </c>
    </row>
    <row r="136" spans="1:4" x14ac:dyDescent="0.2">
      <c r="A136" s="3"/>
      <c r="B136" s="33" t="str">
        <f>'Ressourcenausgleich Basis'!B135</f>
        <v>Grundstückgewinnsteuer</v>
      </c>
      <c r="C136" s="5">
        <f>HLOOKUP(C$9,'Ressourcenausgleich Basis'!$C$8:$BZ$151,128,FALSE)</f>
        <v>75612631.199999988</v>
      </c>
      <c r="D136" s="5" t="e">
        <f>HLOOKUP(D$9,'Ressourcenausgleich Basis'!$C$8:$BZ$151,128,FALSE)</f>
        <v>#N/A</v>
      </c>
    </row>
    <row r="137" spans="1:4" x14ac:dyDescent="0.2">
      <c r="A137" s="3"/>
      <c r="B137" s="33" t="str">
        <f>'Ressourcenausgleich Basis'!B136</f>
        <v>Total</v>
      </c>
      <c r="C137" s="5">
        <f>HLOOKUP(C$9,'Ressourcenausgleich Basis'!$C$8:$BZ$151,129,FALSE)</f>
        <v>1805771424.307817</v>
      </c>
      <c r="D137" s="5" t="e">
        <f>HLOOKUP(D$9,'Ressourcenausgleich Basis'!$C$8:$BZ$151,129,FALSE)</f>
        <v>#N/A</v>
      </c>
    </row>
    <row r="138" spans="1:4" x14ac:dyDescent="0.2">
      <c r="A138" s="3"/>
      <c r="B138" s="33"/>
      <c r="C138" s="5"/>
      <c r="D138" s="5"/>
    </row>
    <row r="139" spans="1:4" x14ac:dyDescent="0.2">
      <c r="A139" s="3"/>
      <c r="B139" s="33" t="str">
        <f>'Ressourcenausgleich Basis'!B138</f>
        <v>Einwohnerzahl per 31.12.</v>
      </c>
      <c r="C139" s="51">
        <f>HLOOKUP(C$9,'Ressourcenausgleich Basis'!$C$8:$BZ$151,131,FALSE)</f>
        <v>514504</v>
      </c>
      <c r="D139" s="49" t="e">
        <f>HLOOKUP(D$9,'Ressourcenausgleich Basis'!$C$8:$BZ$151,131,FALSE)</f>
        <v>#N/A</v>
      </c>
    </row>
    <row r="140" spans="1:4" x14ac:dyDescent="0.2">
      <c r="A140" s="3"/>
      <c r="B140" s="33"/>
      <c r="C140" s="5"/>
      <c r="D140" s="5"/>
    </row>
    <row r="141" spans="1:4" x14ac:dyDescent="0.2">
      <c r="A141" s="21"/>
      <c r="B141" s="21" t="str">
        <f>'Ressourcenausgleich Basis'!B140</f>
        <v>Technische Steuerkraft pro Einwohner</v>
      </c>
      <c r="C141" s="52">
        <f>HLOOKUP(C$9,'Ressourcenausgleich Basis'!$C$8:$BZ$151,133,FALSE)</f>
        <v>3509.7325274591003</v>
      </c>
      <c r="D141" s="52" t="e">
        <f>HLOOKUP(D$9,'Ressourcenausgleich Basis'!$C$8:$BZ$151,133,FALSE)</f>
        <v>#N/A</v>
      </c>
    </row>
    <row r="142" spans="1:4" x14ac:dyDescent="0.2">
      <c r="A142" s="3"/>
      <c r="B142" s="3"/>
      <c r="C142" s="5"/>
      <c r="D142" s="5"/>
    </row>
    <row r="143" spans="1:4" x14ac:dyDescent="0.2">
      <c r="A143" s="3"/>
      <c r="B143" s="3"/>
      <c r="C143" s="5"/>
      <c r="D143" s="5"/>
    </row>
    <row r="144" spans="1:4" x14ac:dyDescent="0.2">
      <c r="A144" s="25" t="s">
        <v>159</v>
      </c>
      <c r="B144" s="27" t="str">
        <f>'Ressourcenausgleich Basis'!B143</f>
        <v>Mittelwert technische Steuerkraft 2020/2021</v>
      </c>
      <c r="C144" s="16">
        <f>HLOOKUP(C$9,'Ressourcenausgleich Basis'!$C$8:$BZ$151,136,FALSE)</f>
        <v>3461.2316590299547</v>
      </c>
      <c r="D144" s="16" t="e">
        <f>HLOOKUP(D$9,'Ressourcenausgleich Basis'!$C$8:$BZ$151,136,FALSE)</f>
        <v>#N/A</v>
      </c>
    </row>
    <row r="145" spans="1:4" x14ac:dyDescent="0.2">
      <c r="A145" s="53"/>
      <c r="B145" s="53" t="str">
        <f>'Ressourcenausgleich Basis'!B144</f>
        <v>in %</v>
      </c>
      <c r="C145" s="66">
        <f>HLOOKUP(C$9,'Ressourcenausgleich Basis'!$C$8:$BZ$151,137,FALSE)</f>
        <v>1</v>
      </c>
      <c r="D145" s="66" t="e">
        <f>HLOOKUP(D$9,'Ressourcenausgleich Basis'!$C$8:$BZ$151,137,FALSE)</f>
        <v>#N/A</v>
      </c>
    </row>
    <row r="146" spans="1:4" x14ac:dyDescent="0.2">
      <c r="A146" s="53"/>
      <c r="B146" s="53"/>
      <c r="C146" s="6"/>
      <c r="D146" s="6"/>
    </row>
    <row r="147" spans="1:4" x14ac:dyDescent="0.2">
      <c r="A147" s="3"/>
      <c r="B147" s="3"/>
      <c r="C147" s="5"/>
      <c r="D147" s="5"/>
    </row>
    <row r="148" spans="1:4" ht="15.75" x14ac:dyDescent="0.25">
      <c r="A148" s="22" t="s">
        <v>101</v>
      </c>
      <c r="B148" s="22" t="str">
        <f>'Ressourcenausgleich Basis'!B147</f>
        <v>Berechnung Ressourcenausgleichsbeitrag</v>
      </c>
      <c r="C148" s="46"/>
      <c r="D148" s="46"/>
    </row>
    <row r="149" spans="1:4" x14ac:dyDescent="0.2">
      <c r="A149" s="3"/>
      <c r="B149" s="3"/>
      <c r="C149" s="5"/>
      <c r="D149" s="5"/>
    </row>
    <row r="150" spans="1:4" x14ac:dyDescent="0.2">
      <c r="A150" s="3"/>
      <c r="B150" s="3" t="str">
        <f>'Ressourcenausgleich Basis'!B149</f>
        <v>Ausgleichsfaktor</v>
      </c>
      <c r="C150" s="10">
        <f>HLOOKUP(C$9,'Ressourcenausgleich Basis'!$C$8:$BZ$151,142,FALSE)</f>
        <v>0.96</v>
      </c>
      <c r="D150" s="5"/>
    </row>
    <row r="151" spans="1:4" x14ac:dyDescent="0.2">
      <c r="A151" s="3"/>
      <c r="B151" s="3"/>
      <c r="C151" s="5"/>
      <c r="D151" s="5"/>
    </row>
    <row r="152" spans="1:4" x14ac:dyDescent="0.2">
      <c r="A152" s="54"/>
      <c r="B152" s="54" t="str">
        <f>'Ressourcenausgleich Basis'!B151</f>
        <v>Ressourcenausgleichsbeitrag</v>
      </c>
      <c r="C152" s="55">
        <f>HLOOKUP(C$9,'Ressourcenausgleich Basis'!$C$8:$BZ$151,144,FALSE)</f>
        <v>115049300</v>
      </c>
      <c r="D152" s="55" t="e">
        <f>HLOOKUP(D$9,'Ressourcenausgleich Basis'!$C$8:$BZ$151,144,FALSE)</f>
        <v>#N/A</v>
      </c>
    </row>
  </sheetData>
  <sheetProtection algorithmName="SHA-512" hashValue="OkLW2iw2SzLMuCf0SDlNUz2rGVcqu+kPCjA661aNvpEdcYlHCLRoOkZGOnhtqDIMiEuXMBqPMj3ooKgVe2nPUg==" saltValue="Q8x825Zny7tUSBZXHum0xA==" spinCount="100000" sheet="1" selectLockedCells="1"/>
  <pageMargins left="0.31496062992125984" right="0.31496062992125984" top="0.59055118110236227" bottom="0.59055118110236227" header="0.31496062992125984" footer="0.31496062992125984"/>
  <pageSetup paperSize="9" scale="90" orientation="portrait" r:id="rId1"/>
  <headerFooter>
    <oddFooter>&amp;C&amp;P von &amp;N&amp;R&amp;D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75"/>
  <sheetViews>
    <sheetView showGridLines="0" workbookViewId="0">
      <selection activeCell="A105" sqref="A105"/>
    </sheetView>
  </sheetViews>
  <sheetFormatPr baseColWidth="10" defaultRowHeight="12.75" x14ac:dyDescent="0.2"/>
  <cols>
    <col min="1" max="1" width="4.140625" bestFit="1" customWidth="1"/>
    <col min="2" max="2" width="48.85546875" customWidth="1"/>
    <col min="3" max="3" width="22.42578125" customWidth="1"/>
    <col min="4" max="4" width="22.42578125" bestFit="1" customWidth="1"/>
  </cols>
  <sheetData>
    <row r="1" spans="1:4" x14ac:dyDescent="0.2">
      <c r="A1" s="82" t="s">
        <v>194</v>
      </c>
    </row>
    <row r="2" spans="1:4" x14ac:dyDescent="0.2">
      <c r="A2" t="s">
        <v>195</v>
      </c>
    </row>
    <row r="5" spans="1:4" ht="26.25" x14ac:dyDescent="0.4">
      <c r="A5" s="18" t="s">
        <v>365</v>
      </c>
      <c r="B5" s="3"/>
    </row>
    <row r="6" spans="1:4" x14ac:dyDescent="0.2">
      <c r="A6" s="3"/>
      <c r="B6" s="3"/>
    </row>
    <row r="7" spans="1:4" x14ac:dyDescent="0.2">
      <c r="A7" s="3"/>
      <c r="B7" s="20" t="s">
        <v>203</v>
      </c>
    </row>
    <row r="8" spans="1:4" s="83" customFormat="1" x14ac:dyDescent="0.2">
      <c r="A8" s="38"/>
      <c r="B8" s="38"/>
    </row>
    <row r="9" spans="1:4" x14ac:dyDescent="0.2">
      <c r="A9" s="21"/>
      <c r="B9" s="21"/>
      <c r="C9" s="90" t="s">
        <v>79</v>
      </c>
      <c r="D9" s="90" t="str">
        <f>Finanzausgleichsbeiträge!B7</f>
        <v>bitte Gemeinde auswählen</v>
      </c>
    </row>
    <row r="10" spans="1:4" x14ac:dyDescent="0.2">
      <c r="A10" s="3"/>
      <c r="B10" s="3"/>
    </row>
    <row r="11" spans="1:4" ht="15.75" x14ac:dyDescent="0.25">
      <c r="A11" s="22" t="s">
        <v>97</v>
      </c>
      <c r="B11" s="23" t="str">
        <f>'SL Weite Basis'!B10</f>
        <v>Allgemeine Daten</v>
      </c>
      <c r="C11" s="23"/>
      <c r="D11" s="7"/>
    </row>
    <row r="12" spans="1:4" x14ac:dyDescent="0.2">
      <c r="A12" s="3"/>
      <c r="B12" s="24"/>
      <c r="C12" s="24"/>
      <c r="D12" s="3"/>
    </row>
    <row r="13" spans="1:4" x14ac:dyDescent="0.2">
      <c r="A13" s="38"/>
      <c r="B13" s="59" t="str">
        <f>'SL Weite Basis'!B12</f>
        <v>Einwohnerzahl per 31.12.</v>
      </c>
      <c r="C13" s="60">
        <f>HLOOKUP(C$9,'SL Weite Basis'!$C$8:$BZ$74,5,FALSE)</f>
        <v>519245</v>
      </c>
      <c r="D13" s="91" t="e">
        <f>HLOOKUP(D$9,'SL Weite Basis'!$C$8:$BZ$74,5,FALSE)</f>
        <v>#N/A</v>
      </c>
    </row>
    <row r="14" spans="1:4" x14ac:dyDescent="0.2">
      <c r="A14" s="38"/>
      <c r="B14" s="30"/>
      <c r="C14" s="5"/>
      <c r="D14" s="5"/>
    </row>
    <row r="15" spans="1:4" x14ac:dyDescent="0.2">
      <c r="A15" s="3"/>
      <c r="B15" s="3"/>
      <c r="C15" s="5"/>
      <c r="D15" s="5"/>
    </row>
    <row r="16" spans="1:4" ht="15.75" x14ac:dyDescent="0.25">
      <c r="A16" s="22" t="s">
        <v>98</v>
      </c>
      <c r="B16" s="22" t="str">
        <f>'SL Weite Basis'!B15</f>
        <v>Berechnung Sonderlastenausgleich Weite</v>
      </c>
      <c r="C16" s="46"/>
      <c r="D16" s="46"/>
    </row>
    <row r="17" spans="1:4" x14ac:dyDescent="0.2">
      <c r="A17" s="3"/>
      <c r="B17" s="3"/>
      <c r="C17" s="5"/>
      <c r="D17" s="5"/>
    </row>
    <row r="18" spans="1:4" x14ac:dyDescent="0.2">
      <c r="A18" s="63" t="s">
        <v>128</v>
      </c>
      <c r="B18" s="61" t="str">
        <f>'SL Weite Basis'!B17</f>
        <v>Länge des Strassennetzes</v>
      </c>
      <c r="C18" s="62"/>
      <c r="D18" s="62"/>
    </row>
    <row r="19" spans="1:4" x14ac:dyDescent="0.2">
      <c r="A19" s="3"/>
      <c r="B19" s="3"/>
      <c r="C19" s="5"/>
      <c r="D19" s="5"/>
    </row>
    <row r="20" spans="1:4" x14ac:dyDescent="0.2">
      <c r="A20" s="30"/>
      <c r="B20" s="30" t="str">
        <f>'SL Weite Basis'!B19</f>
        <v>gewichtete Strassenlänge in km per 31.12.</v>
      </c>
      <c r="C20" s="73">
        <f>HLOOKUP(C$9,'SL Weite Basis'!$C$8:$BZ$74,12,FALSE)</f>
        <v>125515.57399999998</v>
      </c>
      <c r="D20" s="44" t="e">
        <f>HLOOKUP(D$9,'SL Weite Basis'!$C$8:$BZ$74,12,FALSE)</f>
        <v>#N/A</v>
      </c>
    </row>
    <row r="21" spans="1:4" x14ac:dyDescent="0.2">
      <c r="A21" s="3"/>
      <c r="B21" s="3" t="str">
        <f>'SL Weite Basis'!B20</f>
        <v xml:space="preserve">gewichtete Strassenlänge in km pro Einwohner </v>
      </c>
      <c r="C21" s="5"/>
      <c r="D21" s="5" t="e">
        <f>HLOOKUP(D$9,'SL Weite Basis'!$C$8:$BZ$74,13,FALSE)</f>
        <v>#N/A</v>
      </c>
    </row>
    <row r="22" spans="1:4" x14ac:dyDescent="0.2">
      <c r="A22" s="3"/>
      <c r="B22" s="38" t="str">
        <f>'SL Weite Basis'!B21</f>
        <v>Pauschalbeitrag je gewichtetem Kilometer</v>
      </c>
      <c r="C22" s="12">
        <f>HLOOKUP(C$9,'SL Weite Basis'!$C$8:$BZ$74,14,FALSE)</f>
        <v>1166</v>
      </c>
      <c r="D22" s="5"/>
    </row>
    <row r="23" spans="1:4" x14ac:dyDescent="0.2">
      <c r="A23" s="3"/>
      <c r="B23" s="38" t="str">
        <f>'SL Weite Basis'!B22</f>
        <v>Beitrag je Einwohner</v>
      </c>
      <c r="C23" s="5"/>
      <c r="D23" s="5" t="e">
        <f>HLOOKUP(D$9,'SL Weite Basis'!$C$8:$BZ$74,15,FALSE)</f>
        <v>#N/A</v>
      </c>
    </row>
    <row r="24" spans="1:4" x14ac:dyDescent="0.2">
      <c r="A24" s="3"/>
      <c r="B24" s="3"/>
      <c r="C24" s="5"/>
      <c r="D24" s="5"/>
    </row>
    <row r="25" spans="1:4" x14ac:dyDescent="0.2">
      <c r="A25" s="21"/>
      <c r="B25" s="32" t="str">
        <f>'SL Weite Basis'!B24</f>
        <v>Sonderlast total</v>
      </c>
      <c r="C25" s="15"/>
      <c r="D25" s="15" t="e">
        <f>HLOOKUP(D$9,'SL Weite Basis'!$C$8:$BZ$74,17,FALSE)</f>
        <v>#N/A</v>
      </c>
    </row>
    <row r="26" spans="1:4" x14ac:dyDescent="0.2">
      <c r="A26" s="3"/>
      <c r="B26" s="3"/>
      <c r="C26" s="5"/>
      <c r="D26" s="5"/>
    </row>
    <row r="27" spans="1:4" x14ac:dyDescent="0.2">
      <c r="A27" s="63" t="s">
        <v>129</v>
      </c>
      <c r="B27" s="61" t="str">
        <f>'SL Weite Basis'!B26</f>
        <v>Wohnbevölkerung mit Wohnsitz über 800 Metern über Meer</v>
      </c>
      <c r="C27" s="62"/>
      <c r="D27" s="62"/>
    </row>
    <row r="28" spans="1:4" x14ac:dyDescent="0.2">
      <c r="A28" s="3"/>
      <c r="B28" s="3"/>
      <c r="C28" s="5"/>
      <c r="D28" s="5"/>
    </row>
    <row r="29" spans="1:4" x14ac:dyDescent="0.2">
      <c r="A29" s="30"/>
      <c r="B29" s="30" t="str">
        <f>'SL Weite Basis'!B28</f>
        <v>Einwohner über 800m per 31.12.</v>
      </c>
      <c r="C29" s="60">
        <f>HLOOKUP(C$9,'SL Weite Basis'!$C$8:$BZ$74,21,FALSE)</f>
        <v>21312</v>
      </c>
      <c r="D29" s="72" t="e">
        <f>HLOOKUP(D$9,'SL Weite Basis'!$C$8:$BZ$74,21,FALSE)</f>
        <v>#N/A</v>
      </c>
    </row>
    <row r="30" spans="1:4" x14ac:dyDescent="0.2">
      <c r="A30" s="3"/>
      <c r="B30" s="3" t="str">
        <f>'SL Weite Basis'!B29</f>
        <v>Anteil an Gesamtbevölkerung</v>
      </c>
      <c r="C30" s="5"/>
      <c r="D30" s="5" t="e">
        <f>HLOOKUP(D$9,'SL Weite Basis'!$C$8:$BZ$74,22,FALSE)</f>
        <v>#N/A</v>
      </c>
    </row>
    <row r="31" spans="1:4" x14ac:dyDescent="0.2">
      <c r="A31" s="3"/>
      <c r="B31" s="38" t="str">
        <f>'SL Weite Basis'!B30</f>
        <v>Pauschalbeitrag je Einwohner</v>
      </c>
      <c r="C31" s="12">
        <f>HLOOKUP(C$9,'SL Weite Basis'!$C$8:$BZ$74,23,FALSE)</f>
        <v>134</v>
      </c>
      <c r="D31" s="5"/>
    </row>
    <row r="32" spans="1:4" x14ac:dyDescent="0.2">
      <c r="A32" s="3"/>
      <c r="B32" s="38" t="str">
        <f>'SL Weite Basis'!B31</f>
        <v>Beitrag je Einwohner</v>
      </c>
      <c r="C32" s="5"/>
      <c r="D32" s="5" t="e">
        <f>HLOOKUP(D$9,'SL Weite Basis'!$C$8:$BZ$74,24,FALSE)</f>
        <v>#N/A</v>
      </c>
    </row>
    <row r="33" spans="1:4" x14ac:dyDescent="0.2">
      <c r="A33" s="3"/>
      <c r="B33" s="3"/>
      <c r="C33" s="5"/>
      <c r="D33" s="5"/>
    </row>
    <row r="34" spans="1:4" x14ac:dyDescent="0.2">
      <c r="A34" s="21"/>
      <c r="B34" s="32" t="str">
        <f>'SL Weite Basis'!B33</f>
        <v>Sonderlast total</v>
      </c>
      <c r="C34" s="15"/>
      <c r="D34" s="15" t="e">
        <f>HLOOKUP(D$9,'SL Weite Basis'!$C$8:$BZ$74,26,FALSE)</f>
        <v>#N/A</v>
      </c>
    </row>
    <row r="35" spans="1:4" x14ac:dyDescent="0.2">
      <c r="A35" s="3"/>
      <c r="B35" s="3"/>
      <c r="C35" s="5"/>
      <c r="D35" s="5"/>
    </row>
    <row r="36" spans="1:4" x14ac:dyDescent="0.2">
      <c r="A36" s="63" t="s">
        <v>137</v>
      </c>
      <c r="B36" s="61" t="str">
        <f>'SL Weite Basis'!B35</f>
        <v>Streuung des Siedlungsgebiets</v>
      </c>
      <c r="C36" s="62"/>
      <c r="D36" s="62"/>
    </row>
    <row r="37" spans="1:4" x14ac:dyDescent="0.2">
      <c r="A37" s="3"/>
      <c r="B37" s="3"/>
      <c r="C37" s="5"/>
      <c r="D37" s="5"/>
    </row>
    <row r="38" spans="1:4" x14ac:dyDescent="0.2">
      <c r="A38" s="30"/>
      <c r="B38" s="30" t="str">
        <f>'SL Weite Basis'!B37</f>
        <v>Streuung des Siedlungsgebiets per 31.12.</v>
      </c>
      <c r="C38" s="73">
        <f>HLOOKUP(C$9,'SL Weite Basis'!$C$8:$BZ$74,30,FALSE)</f>
        <v>88554.558476328006</v>
      </c>
      <c r="D38" s="44" t="e">
        <f>HLOOKUP(D$9,'SL Weite Basis'!$C$8:$BZ$74,30,FALSE)</f>
        <v>#N/A</v>
      </c>
    </row>
    <row r="39" spans="1:4" x14ac:dyDescent="0.2">
      <c r="A39" s="3"/>
      <c r="B39" s="3" t="str">
        <f>'SL Weite Basis'!B38</f>
        <v>Pauschalbeitrag je Einwohner</v>
      </c>
      <c r="C39" s="74">
        <f>HLOOKUP(C$9,'SL Weite Basis'!$C$8:$BZ$74,31,FALSE)</f>
        <v>8.0000000000000002E-3</v>
      </c>
      <c r="D39" s="5"/>
    </row>
    <row r="40" spans="1:4" x14ac:dyDescent="0.2">
      <c r="A40" s="3"/>
      <c r="B40" s="3" t="str">
        <f>'SL Weite Basis'!B39</f>
        <v>Beitrag je Einwohner</v>
      </c>
      <c r="C40" s="5"/>
      <c r="D40" s="5" t="e">
        <f>HLOOKUP(D$9,'SL Weite Basis'!$C$8:$BZ$74,32,FALSE)</f>
        <v>#N/A</v>
      </c>
    </row>
    <row r="41" spans="1:4" x14ac:dyDescent="0.2">
      <c r="A41" s="3"/>
      <c r="B41" s="3"/>
      <c r="C41" s="5"/>
      <c r="D41" s="5"/>
    </row>
    <row r="42" spans="1:4" x14ac:dyDescent="0.2">
      <c r="A42" s="21"/>
      <c r="B42" s="32" t="str">
        <f>'SL Weite Basis'!B41</f>
        <v>Sonderlast total</v>
      </c>
      <c r="C42" s="15"/>
      <c r="D42" s="15" t="e">
        <f>HLOOKUP(D$9,'SL Weite Basis'!$C$8:$BZ$74,34,FALSE)</f>
        <v>#N/A</v>
      </c>
    </row>
    <row r="43" spans="1:4" x14ac:dyDescent="0.2">
      <c r="A43" s="3"/>
      <c r="B43" s="3"/>
      <c r="C43" s="5"/>
      <c r="D43" s="5"/>
    </row>
    <row r="44" spans="1:4" x14ac:dyDescent="0.2">
      <c r="A44" s="63" t="s">
        <v>143</v>
      </c>
      <c r="B44" s="61" t="str">
        <f>'SL Weite Basis'!B43</f>
        <v>geringe Einwohnerdichte</v>
      </c>
      <c r="C44" s="62"/>
      <c r="D44" s="62"/>
    </row>
    <row r="45" spans="1:4" x14ac:dyDescent="0.2">
      <c r="A45" s="3"/>
      <c r="B45" s="3"/>
      <c r="C45" s="5"/>
      <c r="D45" s="5"/>
    </row>
    <row r="46" spans="1:4" x14ac:dyDescent="0.2">
      <c r="A46" s="30"/>
      <c r="B46" s="30" t="str">
        <f>'SL Weite Basis'!B45</f>
        <v>Gemeindefläche in ha per 31.12.</v>
      </c>
      <c r="C46" s="73">
        <f>HLOOKUP(C$9,'SL Weite Basis'!$C$8:$BZ$74,38,FALSE)</f>
        <v>198379.10664000001</v>
      </c>
      <c r="D46" s="44" t="e">
        <f>HLOOKUP(D$9,'SL Weite Basis'!$C$8:$BZ$74,38,FALSE)</f>
        <v>#N/A</v>
      </c>
    </row>
    <row r="47" spans="1:4" x14ac:dyDescent="0.2">
      <c r="A47" s="3"/>
      <c r="B47" s="3" t="str">
        <f>'SL Weite Basis'!B46</f>
        <v>Gemeindefläche je Einwohner</v>
      </c>
      <c r="C47" s="5"/>
      <c r="D47" s="5" t="e">
        <f>HLOOKUP(D$9,'SL Weite Basis'!$C$8:$BZ$74,39,FALSE)</f>
        <v>#N/A</v>
      </c>
    </row>
    <row r="48" spans="1:4" x14ac:dyDescent="0.2">
      <c r="A48" s="3"/>
      <c r="B48" s="38" t="str">
        <f>'SL Weite Basis'!B47</f>
        <v>Pauschalbeitrag je ha je Einwohner</v>
      </c>
      <c r="C48" s="12">
        <f>HLOOKUP(C$9,'SL Weite Basis'!$C$8:$BZ$74,40,FALSE)</f>
        <v>29</v>
      </c>
      <c r="D48" s="5"/>
    </row>
    <row r="49" spans="1:4" x14ac:dyDescent="0.2">
      <c r="A49" s="3"/>
      <c r="B49" s="38" t="str">
        <f>'SL Weite Basis'!B48</f>
        <v>Beitrag je Einwohner</v>
      </c>
      <c r="C49" s="5"/>
      <c r="D49" s="5" t="e">
        <f>HLOOKUP(D$9,'SL Weite Basis'!$C$8:$BZ$74,41,FALSE)</f>
        <v>#N/A</v>
      </c>
    </row>
    <row r="50" spans="1:4" x14ac:dyDescent="0.2">
      <c r="A50" s="3"/>
      <c r="B50" s="38"/>
      <c r="C50" s="5"/>
      <c r="D50" s="5"/>
    </row>
    <row r="51" spans="1:4" x14ac:dyDescent="0.2">
      <c r="A51" s="21"/>
      <c r="B51" s="32" t="str">
        <f>'SL Weite Basis'!B50</f>
        <v>Sonderlast total</v>
      </c>
      <c r="C51" s="15"/>
      <c r="D51" s="15" t="e">
        <f>HLOOKUP(D$9,'SL Weite Basis'!$C$8:$BZ$74,43,FALSE)</f>
        <v>#N/A</v>
      </c>
    </row>
    <row r="52" spans="1:4" x14ac:dyDescent="0.2">
      <c r="A52" s="3"/>
      <c r="B52" s="3"/>
      <c r="C52" s="5"/>
      <c r="D52" s="5"/>
    </row>
    <row r="53" spans="1:4" x14ac:dyDescent="0.2">
      <c r="A53" s="63" t="s">
        <v>154</v>
      </c>
      <c r="B53" s="61" t="str">
        <f>'SL Weite Basis'!B52</f>
        <v>Korrekturwert</v>
      </c>
      <c r="C53" s="62"/>
      <c r="D53" s="62"/>
    </row>
    <row r="54" spans="1:4" x14ac:dyDescent="0.2">
      <c r="A54" s="3"/>
      <c r="B54" s="3"/>
      <c r="C54" s="5"/>
      <c r="D54" s="5"/>
    </row>
    <row r="55" spans="1:4" x14ac:dyDescent="0.2">
      <c r="A55" s="3"/>
      <c r="B55" s="3" t="str">
        <f>'SL Weite Basis'!B54</f>
        <v>Korrekturwert je Einwohner für mittlere Belastung</v>
      </c>
      <c r="C55" s="12">
        <f>HLOOKUP(C$9,'SL Weite Basis'!$C$8:$BZ$74,47,FALSE)</f>
        <v>320</v>
      </c>
      <c r="D55" s="5"/>
    </row>
    <row r="56" spans="1:4" x14ac:dyDescent="0.2">
      <c r="A56" s="38"/>
      <c r="B56" s="38"/>
      <c r="C56" s="5"/>
      <c r="D56" s="5"/>
    </row>
    <row r="57" spans="1:4" x14ac:dyDescent="0.2">
      <c r="A57" s="21"/>
      <c r="B57" s="21" t="str">
        <f>'SL Weite Basis'!B56</f>
        <v>Minderlast total</v>
      </c>
      <c r="C57" s="15"/>
      <c r="D57" s="15" t="e">
        <f>HLOOKUP(D$9,'SL Weite Basis'!$C$8:$BZ$74,49,FALSE)</f>
        <v>#N/A</v>
      </c>
    </row>
    <row r="58" spans="1:4" x14ac:dyDescent="0.2">
      <c r="A58" s="3"/>
      <c r="B58" s="3"/>
      <c r="C58" s="5"/>
      <c r="D58" s="5"/>
    </row>
    <row r="59" spans="1:4" x14ac:dyDescent="0.2">
      <c r="A59" s="63" t="s">
        <v>155</v>
      </c>
      <c r="B59" s="61" t="str">
        <f>'SL Weite Basis'!B58</f>
        <v>Sonderlastenausgleich Weite (vor allfälliger Kürzung)</v>
      </c>
      <c r="C59" s="62"/>
      <c r="D59" s="62"/>
    </row>
    <row r="60" spans="1:4" x14ac:dyDescent="0.2">
      <c r="A60" s="3"/>
      <c r="B60" s="3"/>
      <c r="C60" s="5"/>
      <c r="D60" s="5"/>
    </row>
    <row r="61" spans="1:4" x14ac:dyDescent="0.2">
      <c r="A61" s="63" t="s">
        <v>156</v>
      </c>
      <c r="B61" s="61" t="str">
        <f>'SL Weite Basis'!B60</f>
        <v>Kürzung infolge hoher technischer Steuerkraft</v>
      </c>
      <c r="C61" s="68"/>
      <c r="D61" s="68"/>
    </row>
    <row r="62" spans="1:4" x14ac:dyDescent="0.2">
      <c r="A62" s="3"/>
      <c r="B62" s="3"/>
      <c r="C62" s="5"/>
      <c r="D62" s="5"/>
    </row>
    <row r="63" spans="1:4" x14ac:dyDescent="0.2">
      <c r="A63" s="3"/>
      <c r="B63" s="3" t="str">
        <f>'SL Weite Basis'!B62</f>
        <v>Technische Steuerkraft in % zum kantonalen Durchschnitt</v>
      </c>
      <c r="C63" s="5"/>
      <c r="D63" s="66" t="e">
        <f>HLOOKUP(D$9,'SL Weite Basis'!$C$8:$BZ$74,55,FALSE)</f>
        <v>#N/A</v>
      </c>
    </row>
    <row r="64" spans="1:4" x14ac:dyDescent="0.2">
      <c r="A64" s="3"/>
      <c r="B64" s="3"/>
      <c r="C64" s="5"/>
      <c r="D64" s="66"/>
    </row>
    <row r="65" spans="1:4" x14ac:dyDescent="0.2">
      <c r="A65" s="3"/>
      <c r="B65" s="3" t="str">
        <f>'SL Weite Basis'!B64</f>
        <v>Kürzungsfaktor in %</v>
      </c>
      <c r="C65" s="5"/>
      <c r="D65" s="66" t="e">
        <f>HLOOKUP(D$9,'SL Weite Basis'!$C$8:$BZ$74,57,FALSE)</f>
        <v>#N/A</v>
      </c>
    </row>
    <row r="66" spans="1:4" x14ac:dyDescent="0.2">
      <c r="A66" s="4"/>
      <c r="B66" s="4" t="str">
        <f>'SL Weite Basis'!B65</f>
        <v>Kürzung in Fr.</v>
      </c>
      <c r="C66" s="5"/>
      <c r="D66" s="5" t="e">
        <f>HLOOKUP(D$9,'SL Weite Basis'!$C$8:$BZ$74,58,FALSE)</f>
        <v>#N/A</v>
      </c>
    </row>
    <row r="67" spans="1:4" x14ac:dyDescent="0.2">
      <c r="A67" s="3"/>
      <c r="B67" s="3"/>
      <c r="C67" s="5"/>
      <c r="D67" s="5"/>
    </row>
    <row r="68" spans="1:4" x14ac:dyDescent="0.2">
      <c r="A68" s="3"/>
      <c r="B68" s="3"/>
      <c r="C68" s="5"/>
      <c r="D68" s="5"/>
    </row>
    <row r="69" spans="1:4" ht="15.75" x14ac:dyDescent="0.25">
      <c r="A69" s="69" t="s">
        <v>99</v>
      </c>
      <c r="B69" s="69" t="str">
        <f>'SL Weite Basis'!B68</f>
        <v>Zusammenfassung</v>
      </c>
      <c r="C69" s="70"/>
      <c r="D69" s="70"/>
    </row>
    <row r="70" spans="1:4" x14ac:dyDescent="0.2">
      <c r="A70" s="3"/>
      <c r="B70" s="3"/>
      <c r="C70" s="5"/>
      <c r="D70" s="5"/>
    </row>
    <row r="71" spans="1:4" x14ac:dyDescent="0.2">
      <c r="A71" s="21"/>
      <c r="B71" s="32" t="str">
        <f>'SL Weite Basis'!B70</f>
        <v>Sonderlastenausgleich Weite (vor allfälliger Kürzung)</v>
      </c>
      <c r="C71" s="15">
        <f>HLOOKUP(C$9,'SL Weite Basis'!$C$8:$BZ$74,63,FALSE)</f>
        <v>39538322.480797648</v>
      </c>
      <c r="D71" s="15" t="e">
        <f>HLOOKUP(D$9,'SL Weite Basis'!$C$8:$BZ$74,63,FALSE)</f>
        <v>#N/A</v>
      </c>
    </row>
    <row r="72" spans="1:4" x14ac:dyDescent="0.2">
      <c r="A72" s="21"/>
      <c r="B72" s="32"/>
      <c r="C72" s="5"/>
      <c r="D72" s="15"/>
    </row>
    <row r="73" spans="1:4" x14ac:dyDescent="0.2">
      <c r="A73" s="3"/>
      <c r="B73" s="38" t="str">
        <f>'SL Weite Basis'!B72</f>
        <v>Kürzung infolge hoher technischer Steuerkraft</v>
      </c>
      <c r="C73" s="5">
        <f>HLOOKUP(C$9,'SL Weite Basis'!$C$8:$BZ$74,65,FALSE)</f>
        <v>-1925295.3505966202</v>
      </c>
      <c r="D73" s="5" t="e">
        <f>HLOOKUP(D$9,'SL Weite Basis'!$C$8:$BZ$74,65,FALSE)</f>
        <v>#N/A</v>
      </c>
    </row>
    <row r="74" spans="1:4" x14ac:dyDescent="0.2">
      <c r="A74" s="3"/>
      <c r="B74" s="38"/>
      <c r="C74" s="5"/>
      <c r="D74" s="5"/>
    </row>
    <row r="75" spans="1:4" x14ac:dyDescent="0.2">
      <c r="A75" s="54"/>
      <c r="B75" s="54" t="str">
        <f>'SL Weite Basis'!B74</f>
        <v>Beitrag Sonderlastenausgleich Weite</v>
      </c>
      <c r="C75" s="55">
        <f>HLOOKUP(C$9,'SL Weite Basis'!$C$8:$BZ$74,67,FALSE)</f>
        <v>37613300</v>
      </c>
      <c r="D75" s="55" t="e">
        <f>HLOOKUP(D$9,'SL Weite Basis'!$C$8:$BZ$74,67,FALSE)</f>
        <v>#N/A</v>
      </c>
    </row>
  </sheetData>
  <sheetProtection algorithmName="SHA-512" hashValue="jkOrtC7yE1dVgjZgDkfaNT3qDJmExUXZdmXgWhGrYz3w6C+f/Y+r1BvoE9/OG1+laNFBDlD+RlpXsrVvAyONyg==" saltValue="gKe4+8RWBkdHLoeRE9ObDw==" spinCount="100000" sheet="1" selectLockedCells="1"/>
  <pageMargins left="0.31496062992125984" right="0.31496062992125984" top="0.59055118110236227" bottom="0.59055118110236227" header="0.31496062992125984" footer="0.31496062992125984"/>
  <pageSetup paperSize="9" scale="90" orientation="portrait" r:id="rId1"/>
  <headerFooter>
    <oddFooter>&amp;C&amp;P von &amp;N&amp;R&amp;D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66"/>
  <sheetViews>
    <sheetView showGridLines="0" workbookViewId="0">
      <selection activeCell="A82" sqref="A82"/>
    </sheetView>
  </sheetViews>
  <sheetFormatPr baseColWidth="10" defaultRowHeight="12.75" x14ac:dyDescent="0.2"/>
  <cols>
    <col min="1" max="1" width="4.140625" bestFit="1" customWidth="1"/>
    <col min="2" max="2" width="59.5703125" bestFit="1" customWidth="1"/>
    <col min="3" max="3" width="22.42578125" customWidth="1"/>
    <col min="4" max="4" width="22.42578125" bestFit="1" customWidth="1"/>
  </cols>
  <sheetData>
    <row r="1" spans="1:4" x14ac:dyDescent="0.2">
      <c r="A1" s="82" t="s">
        <v>194</v>
      </c>
    </row>
    <row r="2" spans="1:4" x14ac:dyDescent="0.2">
      <c r="A2" t="s">
        <v>195</v>
      </c>
    </row>
    <row r="5" spans="1:4" ht="26.25" x14ac:dyDescent="0.4">
      <c r="A5" s="18" t="s">
        <v>366</v>
      </c>
      <c r="B5" s="3"/>
    </row>
    <row r="6" spans="1:4" x14ac:dyDescent="0.2">
      <c r="A6" s="3"/>
      <c r="B6" s="3"/>
    </row>
    <row r="7" spans="1:4" x14ac:dyDescent="0.2">
      <c r="A7" s="3"/>
      <c r="B7" s="20" t="s">
        <v>203</v>
      </c>
    </row>
    <row r="8" spans="1:4" s="83" customFormat="1" x14ac:dyDescent="0.2">
      <c r="A8" s="38"/>
      <c r="B8" s="38"/>
    </row>
    <row r="9" spans="1:4" x14ac:dyDescent="0.2">
      <c r="A9" s="21"/>
      <c r="B9" s="21"/>
      <c r="C9" s="90" t="s">
        <v>79</v>
      </c>
      <c r="D9" s="90" t="str">
        <f>Finanzausgleichsbeiträge!B7</f>
        <v>bitte Gemeinde auswählen</v>
      </c>
    </row>
    <row r="10" spans="1:4" x14ac:dyDescent="0.2">
      <c r="A10" s="3"/>
      <c r="B10" s="3"/>
    </row>
    <row r="11" spans="1:4" ht="15.75" x14ac:dyDescent="0.25">
      <c r="A11" s="22" t="s">
        <v>97</v>
      </c>
      <c r="B11" s="23" t="str">
        <f>'SL Schule Basis'!B10</f>
        <v>Allgemeine Daten</v>
      </c>
      <c r="C11" s="23"/>
      <c r="D11" s="7"/>
    </row>
    <row r="12" spans="1:4" x14ac:dyDescent="0.2">
      <c r="A12" s="3"/>
      <c r="B12" s="24"/>
      <c r="C12" s="24"/>
      <c r="D12" s="3"/>
    </row>
    <row r="13" spans="1:4" x14ac:dyDescent="0.2">
      <c r="A13" s="38"/>
      <c r="B13" s="59" t="str">
        <f>'SL Schule Basis'!B12</f>
        <v>Einwohnerzahl per 31.12.</v>
      </c>
      <c r="C13" s="60">
        <f>HLOOKUP(C$9,'SL Schule Basis'!$C$8:$BZ$64,5,FALSE)</f>
        <v>519245</v>
      </c>
      <c r="D13" s="60" t="e">
        <f>HLOOKUP(D$9,'SL Schule Basis'!$C$8:$BZ$64,5,FALSE)</f>
        <v>#N/A</v>
      </c>
    </row>
    <row r="14" spans="1:4" x14ac:dyDescent="0.2">
      <c r="A14" s="30"/>
      <c r="B14" s="31"/>
      <c r="C14" s="32"/>
      <c r="D14" s="32"/>
    </row>
    <row r="15" spans="1:4" x14ac:dyDescent="0.2">
      <c r="A15" s="38"/>
      <c r="B15" s="30" t="str">
        <f>'SL Schule Basis'!B14</f>
        <v>Schülerzahlen Volksschule per 31.12.2021</v>
      </c>
      <c r="C15" s="51">
        <f>HLOOKUP(C$9,'SL Schule Basis'!$C$8:$BZ$64,7,FALSE)</f>
        <v>57786</v>
      </c>
      <c r="D15" s="49" t="e">
        <f>HLOOKUP(D$9,'SL Schule Basis'!$C$8:$BZ$64,7,FALSE)</f>
        <v>#N/A</v>
      </c>
    </row>
    <row r="16" spans="1:4" x14ac:dyDescent="0.2">
      <c r="A16" s="38"/>
      <c r="B16" s="30" t="str">
        <f>'SL Schule Basis'!B15</f>
        <v>Schülerzahlen Sonderschule per 31.12.2021</v>
      </c>
      <c r="C16" s="51">
        <f>HLOOKUP(C$9,'SL Schule Basis'!$C$8:$BZ$64,8,FALSE)</f>
        <v>1519</v>
      </c>
      <c r="D16" s="49" t="e">
        <f>HLOOKUP(D$9,'SL Schule Basis'!$C$8:$BZ$64,8,FALSE)</f>
        <v>#N/A</v>
      </c>
    </row>
    <row r="17" spans="1:4" x14ac:dyDescent="0.2">
      <c r="A17" s="38"/>
      <c r="B17" s="30"/>
      <c r="C17" s="5"/>
      <c r="D17" s="5"/>
    </row>
    <row r="18" spans="1:4" x14ac:dyDescent="0.2">
      <c r="A18" s="38"/>
      <c r="B18" s="30" t="str">
        <f>'SL Schule Basis'!B17</f>
        <v>Nettoaufwand Schulrat in Einheitsgemeinden (Funktion 0121)</v>
      </c>
      <c r="C18" s="5">
        <f>HLOOKUP(C$9,'SL Schule Basis'!$C$8:$BZ$64,10,FALSE)</f>
        <v>5723593.3200000003</v>
      </c>
      <c r="D18" s="12" t="e">
        <f>HLOOKUP(D$9,'SL Schule Basis'!$C$8:$BZ$64,10,FALSE)</f>
        <v>#N/A</v>
      </c>
    </row>
    <row r="19" spans="1:4" x14ac:dyDescent="0.2">
      <c r="A19" s="38"/>
      <c r="B19" s="30" t="str">
        <f>'SL Schule Basis'!B18</f>
        <v>Nettoaufwand Obligatorische Schule (Funktion 21)</v>
      </c>
      <c r="C19" s="5">
        <f>HLOOKUP(C$9,'SL Schule Basis'!$C$8:$BZ$64,11,FALSE)</f>
        <v>1091346067.78</v>
      </c>
      <c r="D19" s="12" t="e">
        <f>HLOOKUP(D$9,'SL Schule Basis'!$C$8:$BZ$64,11,FALSE)</f>
        <v>#N/A</v>
      </c>
    </row>
    <row r="20" spans="1:4" x14ac:dyDescent="0.2">
      <c r="A20" s="38"/>
      <c r="B20" s="30" t="str">
        <f>'SL Schule Basis'!B19</f>
        <v>Nettoaufwand Schulgesundheitsdienst in EHG (Funktion 433)</v>
      </c>
      <c r="C20" s="5">
        <f>HLOOKUP(C$9,'SL Schule Basis'!$C$8:$BZ$64,12,FALSE)</f>
        <v>2857576.1599999992</v>
      </c>
      <c r="D20" s="12" t="e">
        <f>HLOOKUP(D$9,'SL Schule Basis'!$C$8:$BZ$64,12,FALSE)</f>
        <v>#N/A</v>
      </c>
    </row>
    <row r="21" spans="1:4" x14ac:dyDescent="0.2">
      <c r="A21" s="38"/>
      <c r="B21" s="30" t="str">
        <f>'SL Schule Basis'!B20</f>
        <v>Total</v>
      </c>
      <c r="C21" s="5">
        <f>HLOOKUP(C$9,'SL Schule Basis'!$C$8:$BZ$64,13,FALSE)</f>
        <v>1099927237.26</v>
      </c>
      <c r="D21" s="5" t="e">
        <f>HLOOKUP(D$9,'SL Schule Basis'!$C$8:$BZ$64,13,FALSE)</f>
        <v>#N/A</v>
      </c>
    </row>
    <row r="22" spans="1:4" x14ac:dyDescent="0.2">
      <c r="A22" s="38"/>
      <c r="B22" s="30"/>
      <c r="C22" s="5"/>
      <c r="D22" s="5"/>
    </row>
    <row r="23" spans="1:4" x14ac:dyDescent="0.2">
      <c r="A23" s="38"/>
      <c r="B23" s="30" t="str">
        <f>'SL Schule Basis'!B22</f>
        <v>Kantonaler Durchschnitt Kosten je Schüler</v>
      </c>
      <c r="C23" s="5">
        <f>HLOOKUP(C$9,'SL Schule Basis'!$C$8:$BZ$64,15,FALSE)</f>
        <v>19034.493428512094</v>
      </c>
      <c r="D23" s="5"/>
    </row>
    <row r="24" spans="1:4" x14ac:dyDescent="0.2">
      <c r="A24" s="38"/>
      <c r="B24" s="30"/>
      <c r="C24" s="5"/>
      <c r="D24" s="5"/>
    </row>
    <row r="25" spans="1:4" x14ac:dyDescent="0.2">
      <c r="A25" s="3"/>
      <c r="B25" s="3"/>
      <c r="C25" s="5"/>
      <c r="D25" s="5"/>
    </row>
    <row r="26" spans="1:4" ht="15.75" x14ac:dyDescent="0.25">
      <c r="A26" s="22" t="s">
        <v>98</v>
      </c>
      <c r="B26" s="22" t="str">
        <f>'SL Schule Basis'!B25</f>
        <v>Berechnung Sonderlastenausgleich Schule</v>
      </c>
      <c r="C26" s="46"/>
      <c r="D26" s="46"/>
    </row>
    <row r="27" spans="1:4" x14ac:dyDescent="0.2">
      <c r="A27" s="3"/>
      <c r="B27" s="3"/>
      <c r="C27" s="5"/>
      <c r="D27" s="5"/>
    </row>
    <row r="28" spans="1:4" x14ac:dyDescent="0.2">
      <c r="A28" s="63" t="s">
        <v>128</v>
      </c>
      <c r="B28" s="61" t="str">
        <f>'SL Schule Basis'!B27</f>
        <v>Sonder-/Minderlasten Volksschule</v>
      </c>
      <c r="C28" s="62"/>
      <c r="D28" s="62"/>
    </row>
    <row r="29" spans="1:4" x14ac:dyDescent="0.2">
      <c r="A29" s="3"/>
      <c r="B29" s="3"/>
      <c r="C29" s="5"/>
      <c r="D29" s="5"/>
    </row>
    <row r="30" spans="1:4" x14ac:dyDescent="0.2">
      <c r="A30" s="3"/>
      <c r="B30" s="3" t="str">
        <f>'SL Schule Basis'!B29</f>
        <v>Beitragssatz Volksschule bei überdurchschnittlicher Belastung</v>
      </c>
      <c r="C30" s="10">
        <f>HLOOKUP(C$9,'SL Schule Basis'!$C$8:$BZ$64,22,FALSE)</f>
        <v>0.65</v>
      </c>
      <c r="D30" s="5"/>
    </row>
    <row r="31" spans="1:4" x14ac:dyDescent="0.2">
      <c r="A31" s="3"/>
      <c r="B31" s="38" t="str">
        <f>'SL Schule Basis'!B30</f>
        <v>Beitragssatz Volksschule bei unterdurchschnittlicher Belastung</v>
      </c>
      <c r="C31" s="10">
        <f>HLOOKUP(C$9,'SL Schule Basis'!$C$8:$BZ$64,23,FALSE)</f>
        <v>0.2</v>
      </c>
      <c r="D31" s="5"/>
    </row>
    <row r="32" spans="1:4" x14ac:dyDescent="0.2">
      <c r="A32" s="3"/>
      <c r="B32" s="38" t="str">
        <f>'SL Schule Basis'!B31</f>
        <v>Volksschüler je Einwohner</v>
      </c>
      <c r="C32" s="64">
        <f>HLOOKUP(C$9,'SL Schule Basis'!$C$8:$BZ$64,24,FALSE)</f>
        <v>0.11128850542614759</v>
      </c>
      <c r="D32" s="64" t="e">
        <f>HLOOKUP(D$9,'SL Schule Basis'!$C$8:$BZ$64,24,FALSE)</f>
        <v>#N/A</v>
      </c>
    </row>
    <row r="33" spans="1:4" x14ac:dyDescent="0.2">
      <c r="A33" s="38"/>
      <c r="B33" s="30" t="str">
        <f>'SL Schule Basis'!B32</f>
        <v>BLD-Sozialindex per 31.12.</v>
      </c>
      <c r="C33" s="5"/>
      <c r="D33" s="71" t="e">
        <f>HLOOKUP(D$9,'SL Schule Basis'!$C$8:$BZ$64,25,FALSE)</f>
        <v>#N/A</v>
      </c>
    </row>
    <row r="34" spans="1:4" x14ac:dyDescent="0.2">
      <c r="A34" s="3"/>
      <c r="B34" s="38" t="str">
        <f>'SL Schule Basis'!B33</f>
        <v>reduzierter BLD-Sozialindex per 31.12.</v>
      </c>
      <c r="C34" s="5"/>
      <c r="D34" s="5" t="e">
        <f>HLOOKUP(D$9,'SL Schule Basis'!$C$8:$BZ$64,26,FALSE)</f>
        <v>#N/A</v>
      </c>
    </row>
    <row r="35" spans="1:4" x14ac:dyDescent="0.2">
      <c r="A35" s="3"/>
      <c r="B35" s="38"/>
      <c r="C35" s="5"/>
      <c r="D35" s="5"/>
    </row>
    <row r="36" spans="1:4" x14ac:dyDescent="0.2">
      <c r="A36" s="21"/>
      <c r="B36" s="32" t="str">
        <f>'SL Schule Basis'!B35</f>
        <v>Sonder-/Minderlasten Volksschule (vor allfälliger Kürzung)</v>
      </c>
      <c r="C36" s="15"/>
      <c r="D36" s="15" t="e">
        <f>HLOOKUP(D$9,'SL Schule Basis'!$C$8:$BZ$64,28,FALSE)</f>
        <v>#N/A</v>
      </c>
    </row>
    <row r="37" spans="1:4" x14ac:dyDescent="0.2">
      <c r="A37" s="3"/>
      <c r="B37" s="3"/>
      <c r="C37" s="5"/>
      <c r="D37" s="5"/>
    </row>
    <row r="38" spans="1:4" x14ac:dyDescent="0.2">
      <c r="A38" s="63" t="s">
        <v>129</v>
      </c>
      <c r="B38" s="61" t="str">
        <f>'SL Schule Basis'!B37</f>
        <v>Sonderlasten Sonderschule</v>
      </c>
      <c r="C38" s="62"/>
      <c r="D38" s="62"/>
    </row>
    <row r="39" spans="1:4" x14ac:dyDescent="0.2">
      <c r="A39" s="3"/>
      <c r="B39" s="3"/>
      <c r="C39" s="5"/>
      <c r="D39" s="5"/>
    </row>
    <row r="40" spans="1:4" x14ac:dyDescent="0.2">
      <c r="A40" s="3"/>
      <c r="B40" s="3" t="str">
        <f>'SL Schule Basis'!B39</f>
        <v>Pauschalbeitrag je Schüler in der Sonderschule</v>
      </c>
      <c r="C40" s="12">
        <f>HLOOKUP(C$9,'SL Schule Basis'!$C$8:$BZ$64,32,FALSE)</f>
        <v>11000</v>
      </c>
      <c r="D40" s="5"/>
    </row>
    <row r="41" spans="1:4" x14ac:dyDescent="0.2">
      <c r="A41" s="3"/>
      <c r="B41" s="38" t="str">
        <f>'SL Schule Basis'!B40</f>
        <v>Beitragssatz Sonderschule</v>
      </c>
      <c r="C41" s="10">
        <f>HLOOKUP(C$9,'SL Schule Basis'!$C$8:$BZ$64,33,FALSE)</f>
        <v>0.65</v>
      </c>
      <c r="D41" s="5"/>
    </row>
    <row r="42" spans="1:4" x14ac:dyDescent="0.2">
      <c r="A42" s="3"/>
      <c r="B42" s="3" t="str">
        <f>'SL Schule Basis'!B41</f>
        <v>Sonderschüler je Einwohner</v>
      </c>
      <c r="C42" s="64">
        <f>HLOOKUP(C$9,'SL Schule Basis'!$C$8:$BZ$64,34,FALSE)</f>
        <v>2.9254013038161174E-3</v>
      </c>
      <c r="D42" s="64" t="e">
        <f>HLOOKUP(D$9,'SL Schule Basis'!$C$8:$BZ$64,34,FALSE)</f>
        <v>#N/A</v>
      </c>
    </row>
    <row r="43" spans="1:4" x14ac:dyDescent="0.2">
      <c r="A43" s="3"/>
      <c r="B43" s="3"/>
      <c r="C43" s="5"/>
      <c r="D43" s="5"/>
    </row>
    <row r="44" spans="1:4" x14ac:dyDescent="0.2">
      <c r="A44" s="21"/>
      <c r="B44" s="32" t="str">
        <f>'SL Schule Basis'!B43</f>
        <v>Sonderlasten Sonderschule (vor allfälliger Kürzung)</v>
      </c>
      <c r="C44" s="15"/>
      <c r="D44" s="15" t="e">
        <f>HLOOKUP(D$9,'SL Schule Basis'!$C$8:$BZ$64,36,FALSE)</f>
        <v>#N/A</v>
      </c>
    </row>
    <row r="45" spans="1:4" x14ac:dyDescent="0.2">
      <c r="A45" s="3"/>
      <c r="B45" s="3"/>
      <c r="C45" s="5"/>
      <c r="D45" s="5"/>
    </row>
    <row r="46" spans="1:4" x14ac:dyDescent="0.2">
      <c r="A46" s="63" t="s">
        <v>137</v>
      </c>
      <c r="B46" s="61" t="str">
        <f>'SL Schule Basis'!B45</f>
        <v>Sonderlastenausgleich Schule (vor allfälliger Kürzung)</v>
      </c>
      <c r="C46" s="62"/>
      <c r="D46" s="62" t="e">
        <f>HLOOKUP(D$9,'SL Schule Basis'!$C$8:$BZ$64,38,FALSE)</f>
        <v>#N/A</v>
      </c>
    </row>
    <row r="47" spans="1:4" x14ac:dyDescent="0.2">
      <c r="A47" s="3"/>
      <c r="B47" s="3"/>
      <c r="C47" s="5"/>
      <c r="D47" s="5"/>
    </row>
    <row r="48" spans="1:4" x14ac:dyDescent="0.2">
      <c r="A48" s="63" t="s">
        <v>143</v>
      </c>
      <c r="B48" s="61" t="str">
        <f>'SL Schule Basis'!B47</f>
        <v>Kürzung infolge hoher technischer Steuerkraft</v>
      </c>
      <c r="C48" s="68"/>
      <c r="D48" s="68"/>
    </row>
    <row r="49" spans="1:4" x14ac:dyDescent="0.2">
      <c r="A49" s="3"/>
      <c r="B49" s="3"/>
      <c r="C49" s="5"/>
      <c r="D49" s="5"/>
    </row>
    <row r="50" spans="1:4" x14ac:dyDescent="0.2">
      <c r="A50" s="3"/>
      <c r="B50" s="3" t="str">
        <f>'SL Schule Basis'!B49</f>
        <v>Technische Steuerkraft in % zum kantonalen Durchschnitt</v>
      </c>
      <c r="C50" s="5"/>
      <c r="D50" s="66" t="e">
        <f>HLOOKUP(D$9,'SL Schule Basis'!$C$8:$BZ$64,42,FALSE)</f>
        <v>#N/A</v>
      </c>
    </row>
    <row r="51" spans="1:4" x14ac:dyDescent="0.2">
      <c r="A51" s="3"/>
      <c r="B51" s="3"/>
      <c r="C51" s="5"/>
      <c r="D51" s="66"/>
    </row>
    <row r="52" spans="1:4" x14ac:dyDescent="0.2">
      <c r="A52" s="3"/>
      <c r="B52" s="3" t="str">
        <f>'SL Schule Basis'!B51</f>
        <v>Kürzungsfaktor in %</v>
      </c>
      <c r="C52" s="5"/>
      <c r="D52" s="66" t="e">
        <f>HLOOKUP(D$9,'SL Schule Basis'!$C$8:$BZ$64,44,FALSE)</f>
        <v>#N/A</v>
      </c>
    </row>
    <row r="53" spans="1:4" x14ac:dyDescent="0.2">
      <c r="A53" s="4"/>
      <c r="B53" s="4" t="str">
        <f>'SL Schule Basis'!B52</f>
        <v>Kürzung in Fr.</v>
      </c>
      <c r="C53" s="5"/>
      <c r="D53" s="5" t="e">
        <f>HLOOKUP(D$9,'SL Schule Basis'!$C$8:$BZ$64,45,FALSE)</f>
        <v>#N/A</v>
      </c>
    </row>
    <row r="54" spans="1:4" x14ac:dyDescent="0.2">
      <c r="A54" s="3"/>
      <c r="B54" s="3"/>
      <c r="C54" s="5"/>
      <c r="D54" s="5"/>
    </row>
    <row r="55" spans="1:4" x14ac:dyDescent="0.2">
      <c r="A55" s="3"/>
      <c r="B55" s="3"/>
      <c r="C55" s="5"/>
      <c r="D55" s="5"/>
    </row>
    <row r="56" spans="1:4" ht="15.75" x14ac:dyDescent="0.25">
      <c r="A56" s="69" t="s">
        <v>99</v>
      </c>
      <c r="B56" s="69" t="str">
        <f>'SL Schule Basis'!B55</f>
        <v>Zusammenfassung</v>
      </c>
      <c r="C56" s="70"/>
      <c r="D56" s="70"/>
    </row>
    <row r="57" spans="1:4" x14ac:dyDescent="0.2">
      <c r="A57" s="3"/>
      <c r="B57" s="3"/>
      <c r="C57" s="5"/>
      <c r="D57" s="5"/>
    </row>
    <row r="58" spans="1:4" x14ac:dyDescent="0.2">
      <c r="A58" s="3"/>
      <c r="B58" s="3" t="str">
        <f>'SL Schule Basis'!B57</f>
        <v>Sonder-/Minderlasten Volksschule</v>
      </c>
      <c r="C58" s="5">
        <f>HLOOKUP(C$9,'SL Schule Basis'!$C$8:$BZ$64,50,FALSE)</f>
        <v>21089795.099866107</v>
      </c>
      <c r="D58" s="5" t="e">
        <f>HLOOKUP(D$9,'SL Schule Basis'!$C$8:$BZ$64,50,FALSE)</f>
        <v>#N/A</v>
      </c>
    </row>
    <row r="59" spans="1:4" x14ac:dyDescent="0.2">
      <c r="A59" s="3"/>
      <c r="B59" s="3" t="str">
        <f>'SL Schule Basis'!B58</f>
        <v>Sonderlasten Sonderschule</v>
      </c>
      <c r="C59" s="5">
        <f>HLOOKUP(C$9,'SL Schule Basis'!$C$8:$BZ$64,51,FALSE)</f>
        <v>1295274.3750060189</v>
      </c>
      <c r="D59" s="5" t="e">
        <f>HLOOKUP(D$9,'SL Schule Basis'!$C$8:$BZ$64,51,FALSE)</f>
        <v>#N/A</v>
      </c>
    </row>
    <row r="60" spans="1:4" x14ac:dyDescent="0.2">
      <c r="A60" s="3"/>
      <c r="B60" s="3"/>
      <c r="C60" s="5"/>
      <c r="D60" s="5"/>
    </row>
    <row r="61" spans="1:4" x14ac:dyDescent="0.2">
      <c r="A61" s="21"/>
      <c r="B61" s="32" t="str">
        <f>'SL Schule Basis'!B60</f>
        <v>Sonderlastenausgleich Schule (vor allfälliger Kürzung)</v>
      </c>
      <c r="C61" s="15">
        <f>HLOOKUP(C$9,'SL Schule Basis'!$C$8:$BZ$64,53,FALSE)</f>
        <v>32228252.028466653</v>
      </c>
      <c r="D61" s="15" t="e">
        <f>HLOOKUP(D$9,'SL Schule Basis'!$C$8:$BZ$64,53,FALSE)</f>
        <v>#N/A</v>
      </c>
    </row>
    <row r="62" spans="1:4" x14ac:dyDescent="0.2">
      <c r="A62" s="21"/>
      <c r="B62" s="32"/>
      <c r="C62" s="15"/>
      <c r="D62" s="15"/>
    </row>
    <row r="63" spans="1:4" x14ac:dyDescent="0.2">
      <c r="A63" s="3"/>
      <c r="B63" s="38" t="str">
        <f>'SL Schule Basis'!B62</f>
        <v>Kürzung infolge hoher technischer Steuerkraft</v>
      </c>
      <c r="C63" s="5">
        <f>HLOOKUP(C$9,'SL Schule Basis'!$C$8:$BZ$64,55,FALSE)</f>
        <v>-1501413.2537001516</v>
      </c>
      <c r="D63" s="5" t="e">
        <f>HLOOKUP(D$9,'SL Schule Basis'!$C$8:$BZ$64,55,FALSE)</f>
        <v>#N/A</v>
      </c>
    </row>
    <row r="64" spans="1:4" x14ac:dyDescent="0.2">
      <c r="A64" s="3"/>
      <c r="B64" s="38"/>
      <c r="C64" s="5"/>
      <c r="D64" s="5"/>
    </row>
    <row r="65" spans="1:4" x14ac:dyDescent="0.2">
      <c r="A65" s="54"/>
      <c r="B65" s="54" t="str">
        <f>'SL Schule Basis'!B64</f>
        <v>Beitrag Sonderlastenausgleich Schule</v>
      </c>
      <c r="C65" s="55">
        <f>HLOOKUP(C$9,'SL Schule Basis'!$C$8:$BZ$64,57,FALSE)</f>
        <v>30726800</v>
      </c>
      <c r="D65" s="55" t="e">
        <f>HLOOKUP(D$9,'SL Schule Basis'!$C$8:$BZ$64,57,FALSE)</f>
        <v>#N/A</v>
      </c>
    </row>
    <row r="66" spans="1:4" x14ac:dyDescent="0.2">
      <c r="A66" s="3"/>
      <c r="B66" s="3"/>
      <c r="C66" s="5"/>
      <c r="D66" s="5"/>
    </row>
  </sheetData>
  <sheetProtection algorithmName="SHA-512" hashValue="4OrhAHzd0NghAf/E4cFLpxodwRRnLN/uyCUe+D7tXy230BAQwXDISTB17RGC236fTJdtSjoCMIYFF39QnaDRhA==" saltValue="gS6Fv5bdi1vHjhtDhni62g==" spinCount="100000" sheet="1" selectLockedCells="1"/>
  <pageMargins left="0.31496062992125984" right="0.31496062992125984" top="0.59055118110236227" bottom="0.59055118110236227" header="0.31496062992125984" footer="0.31496062992125984"/>
  <pageSetup paperSize="9" scale="90" orientation="portrait" r:id="rId1"/>
  <headerFooter>
    <oddFooter>&amp;C&amp;P von &amp;N&amp;R&amp;D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56"/>
  <sheetViews>
    <sheetView showGridLines="0" workbookViewId="0">
      <selection activeCell="A90" sqref="A90"/>
    </sheetView>
  </sheetViews>
  <sheetFormatPr baseColWidth="10" defaultRowHeight="12.75" x14ac:dyDescent="0.2"/>
  <cols>
    <col min="1" max="1" width="4.140625" bestFit="1" customWidth="1"/>
    <col min="2" max="2" width="50.42578125" customWidth="1"/>
    <col min="3" max="3" width="22.42578125" customWidth="1"/>
    <col min="4" max="4" width="22.42578125" bestFit="1" customWidth="1"/>
  </cols>
  <sheetData>
    <row r="1" spans="1:4" x14ac:dyDescent="0.2">
      <c r="A1" s="82" t="s">
        <v>194</v>
      </c>
    </row>
    <row r="2" spans="1:4" x14ac:dyDescent="0.2">
      <c r="A2" t="s">
        <v>195</v>
      </c>
    </row>
    <row r="5" spans="1:4" ht="26.25" x14ac:dyDescent="0.4">
      <c r="A5" s="18" t="s">
        <v>369</v>
      </c>
      <c r="B5" s="3"/>
    </row>
    <row r="6" spans="1:4" x14ac:dyDescent="0.2">
      <c r="A6" s="3"/>
      <c r="B6" s="3"/>
    </row>
    <row r="7" spans="1:4" x14ac:dyDescent="0.2">
      <c r="A7" s="3"/>
      <c r="B7" s="20" t="s">
        <v>203</v>
      </c>
    </row>
    <row r="8" spans="1:4" s="83" customFormat="1" x14ac:dyDescent="0.2">
      <c r="A8" s="38"/>
      <c r="B8" s="38"/>
    </row>
    <row r="9" spans="1:4" x14ac:dyDescent="0.2">
      <c r="A9" s="21"/>
      <c r="B9" s="21"/>
      <c r="C9" s="90" t="s">
        <v>79</v>
      </c>
      <c r="D9" s="90" t="str">
        <f>Finanzausgleichsbeiträge!B7</f>
        <v>bitte Gemeinde auswählen</v>
      </c>
    </row>
    <row r="10" spans="1:4" x14ac:dyDescent="0.2">
      <c r="A10" s="3"/>
      <c r="B10" s="3"/>
    </row>
    <row r="11" spans="1:4" ht="15.75" x14ac:dyDescent="0.25">
      <c r="A11" s="22" t="s">
        <v>97</v>
      </c>
      <c r="B11" s="23" t="str">
        <f>'SL Sozio Basis'!B10</f>
        <v>Allgemeine Daten</v>
      </c>
      <c r="C11" s="23"/>
      <c r="D11" s="7"/>
    </row>
    <row r="12" spans="1:4" x14ac:dyDescent="0.2">
      <c r="A12" s="3"/>
      <c r="B12" s="24"/>
      <c r="C12" s="24"/>
      <c r="D12" s="3"/>
    </row>
    <row r="13" spans="1:4" x14ac:dyDescent="0.2">
      <c r="A13" s="38"/>
      <c r="B13" s="59" t="str">
        <f>'SL Sozio Basis'!B12</f>
        <v>Einwohnerzahl per 31.12.</v>
      </c>
      <c r="C13" s="60">
        <f>HLOOKUP(C$9,'SL Sozio Basis'!$C$8:$BZ$55,5,FALSE)</f>
        <v>519245</v>
      </c>
      <c r="D13" s="60" t="e">
        <f>HLOOKUP(D$9,'SL Sozio Basis'!$C$8:$BZ$55,5,FALSE)</f>
        <v>#N/A</v>
      </c>
    </row>
    <row r="14" spans="1:4" x14ac:dyDescent="0.2">
      <c r="A14" s="38"/>
      <c r="B14" s="30"/>
      <c r="C14" s="5"/>
      <c r="D14" s="5"/>
    </row>
    <row r="15" spans="1:4" x14ac:dyDescent="0.2">
      <c r="A15" s="3"/>
      <c r="B15" s="3"/>
      <c r="C15" s="5"/>
      <c r="D15" s="5"/>
    </row>
    <row r="16" spans="1:4" ht="15.75" x14ac:dyDescent="0.25">
      <c r="A16" s="22" t="s">
        <v>98</v>
      </c>
      <c r="B16" s="22" t="str">
        <f>'SL Sozio Basis'!B15</f>
        <v>Berechnung Soziodemographischer Sonderlastenausgleich</v>
      </c>
      <c r="C16" s="46"/>
      <c r="D16" s="46"/>
    </row>
    <row r="17" spans="1:4" x14ac:dyDescent="0.2">
      <c r="A17" s="3"/>
      <c r="B17" s="3"/>
      <c r="C17" s="5"/>
      <c r="D17" s="5"/>
    </row>
    <row r="18" spans="1:4" x14ac:dyDescent="0.2">
      <c r="A18" s="63" t="s">
        <v>128</v>
      </c>
      <c r="B18" s="61" t="str">
        <f>'SL Sozio Basis'!B17</f>
        <v>Sonderlasten Familie und Jugend</v>
      </c>
      <c r="C18" s="62"/>
      <c r="D18" s="62"/>
    </row>
    <row r="19" spans="1:4" x14ac:dyDescent="0.2">
      <c r="A19" s="3"/>
      <c r="B19" s="3"/>
      <c r="C19" s="5"/>
      <c r="D19" s="5"/>
    </row>
    <row r="20" spans="1:4" x14ac:dyDescent="0.2">
      <c r="A20" s="3"/>
      <c r="B20" s="3" t="str">
        <f>'SL Sozio Basis'!B19</f>
        <v>Beitragssatz bei überdurchschnittlicher Belastung</v>
      </c>
      <c r="C20" s="10">
        <f>HLOOKUP(C$9,'SL Sozio Basis'!$C$8:$BZ$55,12,FALSE)</f>
        <v>0.6</v>
      </c>
      <c r="D20" s="5"/>
    </row>
    <row r="21" spans="1:4" x14ac:dyDescent="0.2">
      <c r="A21" s="38"/>
      <c r="B21" s="38"/>
      <c r="C21" s="6"/>
      <c r="D21" s="5"/>
    </row>
    <row r="22" spans="1:4" x14ac:dyDescent="0.2">
      <c r="A22" s="38"/>
      <c r="B22" s="38" t="str">
        <f>'SL Sozio Basis'!B21</f>
        <v>Nettoaufwand Familie und Jugend (Funktion 54)</v>
      </c>
      <c r="C22" s="5">
        <f>HLOOKUP(C$9,'SL Sozio Basis'!$C$8:$BZ$55,14,FALSE)</f>
        <v>62536444.559999995</v>
      </c>
      <c r="D22" s="12" t="e">
        <f>HLOOKUP(D$9,'SL Sozio Basis'!$C$8:$BZ$55,14,FALSE)</f>
        <v>#N/A</v>
      </c>
    </row>
    <row r="23" spans="1:4" x14ac:dyDescent="0.2">
      <c r="A23" s="38"/>
      <c r="B23" s="38" t="str">
        <f>'SL Sozio Basis'!B22</f>
        <v>Nettoaufwand Familie und Jugend pro Einwohner</v>
      </c>
      <c r="C23" s="5">
        <f>HLOOKUP(C$9,'SL Sozio Basis'!$C$8:$BZ$55,15,FALSE)</f>
        <v>120.43725902030832</v>
      </c>
      <c r="D23" s="5" t="e">
        <f>HLOOKUP(D$9,'SL Sozio Basis'!$C$8:$BZ$55,15,FALSE)</f>
        <v>#N/A</v>
      </c>
    </row>
    <row r="24" spans="1:4" x14ac:dyDescent="0.2">
      <c r="A24" s="38"/>
      <c r="B24" s="38"/>
      <c r="C24" s="6"/>
      <c r="D24" s="5"/>
    </row>
    <row r="25" spans="1:4" x14ac:dyDescent="0.2">
      <c r="A25" s="32"/>
      <c r="B25" s="32" t="str">
        <f>'SL Sozio Basis'!B24</f>
        <v>Sonderlasten Familie und Jugend</v>
      </c>
      <c r="C25" s="15">
        <f>HLOOKUP(C$9,'SL Sozio Basis'!$C$8:$BZ$55,17,FALSE)</f>
        <v>8397159.5244038943</v>
      </c>
      <c r="D25" s="15" t="e">
        <f>HLOOKUP(D$9,'SL Sozio Basis'!$C$8:$BZ$55,17,FALSE)</f>
        <v>#N/A</v>
      </c>
    </row>
    <row r="26" spans="1:4" x14ac:dyDescent="0.2">
      <c r="A26" s="38"/>
      <c r="B26" s="38"/>
      <c r="C26" s="6"/>
      <c r="D26" s="5"/>
    </row>
    <row r="27" spans="1:4" x14ac:dyDescent="0.2">
      <c r="A27" s="3"/>
      <c r="B27" s="3"/>
      <c r="C27" s="5"/>
      <c r="D27" s="5"/>
    </row>
    <row r="28" spans="1:4" x14ac:dyDescent="0.2">
      <c r="A28" s="63" t="s">
        <v>129</v>
      </c>
      <c r="B28" s="61" t="str">
        <f>'SL Sozio Basis'!B27</f>
        <v>Sonder-/Minderlasten Sozialhilfe</v>
      </c>
      <c r="C28" s="62"/>
      <c r="D28" s="62"/>
    </row>
    <row r="29" spans="1:4" x14ac:dyDescent="0.2">
      <c r="A29" s="3"/>
      <c r="B29" s="3"/>
      <c r="C29" s="5"/>
      <c r="D29" s="5"/>
    </row>
    <row r="30" spans="1:4" x14ac:dyDescent="0.2">
      <c r="A30" s="3"/>
      <c r="B30" s="3" t="str">
        <f>'SL Sozio Basis'!B29</f>
        <v>Beitragssatz bei überdurchschnittlicher Belastung</v>
      </c>
      <c r="C30" s="10">
        <f>HLOOKUP(C$9,'SL Sozio Basis'!$C$8:$BZ$55,22,FALSE)</f>
        <v>0.6</v>
      </c>
      <c r="D30" s="5"/>
    </row>
    <row r="31" spans="1:4" x14ac:dyDescent="0.2">
      <c r="A31" s="21"/>
      <c r="B31" s="3" t="str">
        <f>'SL Sozio Basis'!B30</f>
        <v>Beitragssatz bei unterdurchschnittlicher Belastung</v>
      </c>
      <c r="C31" s="75">
        <f>HLOOKUP(C$9,'SL Sozio Basis'!$C$8:$BZ$55,23,FALSE)</f>
        <v>0.2</v>
      </c>
      <c r="D31" s="15"/>
    </row>
    <row r="32" spans="1:4" x14ac:dyDescent="0.2">
      <c r="A32" s="21"/>
      <c r="B32" s="3"/>
      <c r="C32" s="76"/>
      <c r="D32" s="15"/>
    </row>
    <row r="33" spans="1:4" x14ac:dyDescent="0.2">
      <c r="A33" s="33"/>
      <c r="B33" s="30" t="str">
        <f>'SL Sozio Basis'!B32</f>
        <v>Nettoaufwand Finanzielle Sozialhilfe (Funktion 572)</v>
      </c>
      <c r="C33" s="36">
        <f>HLOOKUP(C$9,'SL Sozio Basis'!$C$8:$BZ$55,25,FALSE)</f>
        <v>71893966.659999996</v>
      </c>
      <c r="D33" s="44" t="e">
        <f>HLOOKUP(D$9,'SL Sozio Basis'!$C$8:$BZ$55,25,FALSE)</f>
        <v>#N/A</v>
      </c>
    </row>
    <row r="34" spans="1:4" x14ac:dyDescent="0.2">
      <c r="A34" s="33"/>
      <c r="B34" s="30" t="str">
        <f>'SL Sozio Basis'!B33</f>
        <v>Nettoaufwand Finanzielle Sozialhilfe pro Einwohner</v>
      </c>
      <c r="C34" s="36">
        <f>HLOOKUP(C$9,'SL Sozio Basis'!$C$8:$BZ$55,26,FALSE)</f>
        <v>138.45865951525772</v>
      </c>
      <c r="D34" s="36" t="e">
        <f>HLOOKUP(D$9,'SL Sozio Basis'!$C$8:$BZ$55,26,FALSE)</f>
        <v>#N/A</v>
      </c>
    </row>
    <row r="35" spans="1:4" x14ac:dyDescent="0.2">
      <c r="A35" s="21"/>
      <c r="B35" s="32"/>
      <c r="C35" s="15"/>
      <c r="D35" s="15"/>
    </row>
    <row r="36" spans="1:4" x14ac:dyDescent="0.2">
      <c r="A36" s="21"/>
      <c r="B36" s="32" t="str">
        <f>'SL Sozio Basis'!B35</f>
        <v>Sonder-/Minderlasten Sozialhilfe</v>
      </c>
      <c r="C36" s="15">
        <f>HLOOKUP(C$9,'SL Sozio Basis'!$C$8:$BZ$55,28,FALSE)</f>
        <v>9253313.1376119219</v>
      </c>
      <c r="D36" s="15" t="e">
        <f>HLOOKUP(D$9,'SL Sozio Basis'!$C$8:$BZ$55,28,FALSE)</f>
        <v>#N/A</v>
      </c>
    </row>
    <row r="37" spans="1:4" x14ac:dyDescent="0.2">
      <c r="A37" s="21"/>
      <c r="B37" s="32"/>
      <c r="C37" s="15"/>
      <c r="D37" s="15"/>
    </row>
    <row r="38" spans="1:4" x14ac:dyDescent="0.2">
      <c r="A38" s="21"/>
      <c r="B38" s="32"/>
      <c r="C38" s="15"/>
      <c r="D38" s="15"/>
    </row>
    <row r="39" spans="1:4" x14ac:dyDescent="0.2">
      <c r="A39" s="63" t="s">
        <v>137</v>
      </c>
      <c r="B39" s="61" t="str">
        <f>'SL Sozio Basis'!B38</f>
        <v>Sonder-/Minderlasten Stationäre Pflege</v>
      </c>
      <c r="C39" s="62"/>
      <c r="D39" s="62"/>
    </row>
    <row r="40" spans="1:4" x14ac:dyDescent="0.2">
      <c r="A40" s="21"/>
      <c r="B40" s="32"/>
      <c r="C40" s="15"/>
      <c r="D40" s="15"/>
    </row>
    <row r="41" spans="1:4" x14ac:dyDescent="0.2">
      <c r="A41" s="3"/>
      <c r="B41" s="3" t="str">
        <f>'SL Sozio Basis'!B40</f>
        <v>Beitragssatz bei überdurchschnittlicher Belastung</v>
      </c>
      <c r="C41" s="10">
        <f>HLOOKUP(C$9,'SL Sozio Basis'!$C$8:$BZ$55,33,FALSE)</f>
        <v>0.6</v>
      </c>
      <c r="D41" s="5"/>
    </row>
    <row r="42" spans="1:4" x14ac:dyDescent="0.2">
      <c r="A42" s="21"/>
      <c r="B42" s="3" t="str">
        <f>'SL Sozio Basis'!B41</f>
        <v>Beitragssatz bei unterdurchschnittlicher Belastung</v>
      </c>
      <c r="C42" s="75">
        <f>HLOOKUP(C$9,'SL Sozio Basis'!$C$8:$BZ$55,34,FALSE)</f>
        <v>0.2</v>
      </c>
      <c r="D42" s="15"/>
    </row>
    <row r="43" spans="1:4" x14ac:dyDescent="0.2">
      <c r="A43" s="21"/>
      <c r="B43" s="32"/>
      <c r="C43" s="15"/>
      <c r="D43" s="15"/>
    </row>
    <row r="44" spans="1:4" x14ac:dyDescent="0.2">
      <c r="A44" s="33"/>
      <c r="B44" s="30" t="str">
        <f>'SL Sozio Basis'!B43</f>
        <v>Nettoaufwand Stationäre Pflege</v>
      </c>
      <c r="C44" s="36">
        <f>HLOOKUP(C$9,'SL Sozio Basis'!$C$8:$BZ$55,36,FALSE)</f>
        <v>87465277.089999974</v>
      </c>
      <c r="D44" s="44" t="e">
        <f>HLOOKUP(D$9,'SL Sozio Basis'!$C$8:$BZ$55,36,FALSE)</f>
        <v>#N/A</v>
      </c>
    </row>
    <row r="45" spans="1:4" x14ac:dyDescent="0.2">
      <c r="A45" s="33"/>
      <c r="B45" s="30" t="str">
        <f>'SL Sozio Basis'!B44</f>
        <v>Nettoaufwand Stationäre Pflege pro Einwohner</v>
      </c>
      <c r="C45" s="36">
        <f>HLOOKUP(C$9,'SL Sozio Basis'!$C$8:$BZ$55,37,FALSE)</f>
        <v>168.447028069601</v>
      </c>
      <c r="D45" s="36" t="e">
        <f>HLOOKUP(D$9,'SL Sozio Basis'!$C$8:$BZ$55,37,FALSE)</f>
        <v>#N/A</v>
      </c>
    </row>
    <row r="46" spans="1:4" x14ac:dyDescent="0.2">
      <c r="A46" s="21"/>
      <c r="B46" s="32"/>
      <c r="C46" s="15"/>
      <c r="D46" s="15"/>
    </row>
    <row r="47" spans="1:4" x14ac:dyDescent="0.2">
      <c r="A47" s="21"/>
      <c r="B47" s="32" t="str">
        <f>'SL Sozio Basis'!B46</f>
        <v>Sonder-/Minderlasten Stationäre Pflege</v>
      </c>
      <c r="C47" s="15">
        <f>HLOOKUP(C$9,'SL Sozio Basis'!$C$8:$BZ$55,39,FALSE)</f>
        <v>3942439.1348113888</v>
      </c>
      <c r="D47" s="15" t="e">
        <f>HLOOKUP(D$9,'SL Sozio Basis'!$C$8:$BZ$55,39,FALSE)</f>
        <v>#N/A</v>
      </c>
    </row>
    <row r="48" spans="1:4" x14ac:dyDescent="0.2">
      <c r="A48" s="21"/>
      <c r="B48" s="32"/>
      <c r="C48" s="15"/>
      <c r="D48" s="15"/>
    </row>
    <row r="49" spans="1:4" x14ac:dyDescent="0.2">
      <c r="A49" s="3"/>
      <c r="B49" s="3"/>
      <c r="C49" s="5"/>
      <c r="D49" s="5"/>
    </row>
    <row r="50" spans="1:4" ht="15.75" x14ac:dyDescent="0.25">
      <c r="A50" s="69" t="s">
        <v>99</v>
      </c>
      <c r="B50" s="69" t="str">
        <f>'SL Sozio Basis'!B49</f>
        <v>Zusammenfassung</v>
      </c>
      <c r="C50" s="70"/>
      <c r="D50" s="70"/>
    </row>
    <row r="51" spans="1:4" x14ac:dyDescent="0.2">
      <c r="A51" s="3"/>
      <c r="B51" s="3"/>
      <c r="C51" s="5"/>
      <c r="D51" s="5"/>
    </row>
    <row r="52" spans="1:4" x14ac:dyDescent="0.2">
      <c r="A52" s="3"/>
      <c r="B52" s="3" t="str">
        <f>'SL Sozio Basis'!B51</f>
        <v>Sonderlasten Familie und Jugend</v>
      </c>
      <c r="C52" s="5">
        <f>HLOOKUP(C$9,'SL Sozio Basis'!$C$8:$BZ$55,44,FALSE)</f>
        <v>8397159.5244038943</v>
      </c>
      <c r="D52" s="5" t="e">
        <f>HLOOKUP(D$9,'SL Sozio Basis'!$C$8:$BZ$55,44,FALSE)</f>
        <v>#N/A</v>
      </c>
    </row>
    <row r="53" spans="1:4" x14ac:dyDescent="0.2">
      <c r="A53" s="3"/>
      <c r="B53" s="3" t="str">
        <f>'SL Sozio Basis'!B52</f>
        <v>Sonder-/Minderlasten Sozialhilfe</v>
      </c>
      <c r="C53" s="5">
        <f>HLOOKUP(C$9,'SL Sozio Basis'!$C$8:$BZ$55,45,FALSE)</f>
        <v>9253313.1376119219</v>
      </c>
      <c r="D53" s="5" t="e">
        <f>HLOOKUP(D$9,'SL Sozio Basis'!$C$8:$BZ$55,45,FALSE)</f>
        <v>#N/A</v>
      </c>
    </row>
    <row r="54" spans="1:4" x14ac:dyDescent="0.2">
      <c r="A54" s="3"/>
      <c r="B54" s="38" t="str">
        <f>'SL Sozio Basis'!B53</f>
        <v>Sonder-/Minderlasten Stationäre Pflege</v>
      </c>
      <c r="C54" s="5">
        <f>HLOOKUP(C$9,'SL Sozio Basis'!$C$8:$BZ$55,46,FALSE)</f>
        <v>3942439.1348113888</v>
      </c>
      <c r="D54" s="5" t="e">
        <f>HLOOKUP(D$9,'SL Sozio Basis'!$C$8:$BZ$55,46,FALSE)</f>
        <v>#N/A</v>
      </c>
    </row>
    <row r="55" spans="1:4" x14ac:dyDescent="0.2">
      <c r="A55" s="3"/>
      <c r="B55" s="38"/>
      <c r="C55" s="5"/>
      <c r="D55" s="5"/>
    </row>
    <row r="56" spans="1:4" x14ac:dyDescent="0.2">
      <c r="A56" s="54"/>
      <c r="B56" s="54" t="str">
        <f>'SL Sozio Basis'!B55</f>
        <v>Beitrag Soziodemographischer Sonderlastenausgleich</v>
      </c>
      <c r="C56" s="55">
        <f>HLOOKUP(C$9,'SL Sozio Basis'!$C$8:$BZ$55,48,FALSE)</f>
        <v>26497800</v>
      </c>
      <c r="D56" s="55" t="e">
        <f>HLOOKUP(D$9,'SL Sozio Basis'!$C$8:$BZ$55,48,FALSE)</f>
        <v>#N/A</v>
      </c>
    </row>
  </sheetData>
  <sheetProtection algorithmName="SHA-512" hashValue="b3io6Z/NV3oDcdoXviF7czaMPQipAUHoQnaDT/2FEBNtQNk+Ib5hWua+IqBBuvbAP15W0uGpcgmjasolbL8Cvg==" saltValue="zmjvg7DH7+2UOHjtKweyIg==" spinCount="100000" sheet="1" selectLockedCells="1"/>
  <pageMargins left="0.31496062992125984" right="0.31496062992125984" top="0.59055118110236227" bottom="0.59055118110236227" header="0.31496062992125984" footer="0.31496062992125984"/>
  <pageSetup paperSize="9" scale="90" orientation="portrait" r:id="rId1"/>
  <headerFooter>
    <oddFooter>&amp;C&amp;P von &amp;N&amp;R&amp;D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19"/>
  <sheetViews>
    <sheetView showGridLines="0" workbookViewId="0">
      <selection activeCell="A39" sqref="A39"/>
    </sheetView>
  </sheetViews>
  <sheetFormatPr baseColWidth="10" defaultRowHeight="12.75" x14ac:dyDescent="0.2"/>
  <cols>
    <col min="1" max="1" width="4.140625" bestFit="1" customWidth="1"/>
    <col min="2" max="2" width="51" bestFit="1" customWidth="1"/>
    <col min="3" max="3" width="22.42578125" customWidth="1"/>
    <col min="4" max="4" width="22.42578125" bestFit="1" customWidth="1"/>
  </cols>
  <sheetData>
    <row r="1" spans="1:4" x14ac:dyDescent="0.2">
      <c r="A1" s="82" t="s">
        <v>194</v>
      </c>
    </row>
    <row r="2" spans="1:4" x14ac:dyDescent="0.2">
      <c r="A2" t="s">
        <v>195</v>
      </c>
    </row>
    <row r="5" spans="1:4" ht="26.25" x14ac:dyDescent="0.4">
      <c r="A5" s="18" t="s">
        <v>370</v>
      </c>
      <c r="B5" s="3"/>
    </row>
    <row r="6" spans="1:4" x14ac:dyDescent="0.2">
      <c r="A6" s="3"/>
      <c r="B6" s="3"/>
    </row>
    <row r="7" spans="1:4" x14ac:dyDescent="0.2">
      <c r="A7" s="3"/>
      <c r="B7" s="20" t="s">
        <v>203</v>
      </c>
    </row>
    <row r="8" spans="1:4" s="83" customFormat="1" x14ac:dyDescent="0.2">
      <c r="A8" s="38"/>
      <c r="B8" s="38"/>
    </row>
    <row r="9" spans="1:4" x14ac:dyDescent="0.2">
      <c r="A9" s="21"/>
      <c r="B9" s="21"/>
      <c r="C9" s="90" t="str">
        <f>Finanzausgleichsbeiträge!B7</f>
        <v>bitte Gemeinde auswählen</v>
      </c>
      <c r="D9" s="90"/>
    </row>
    <row r="10" spans="1:4" x14ac:dyDescent="0.2">
      <c r="A10" s="3"/>
      <c r="B10" s="3"/>
    </row>
    <row r="11" spans="1:4" ht="15.75" x14ac:dyDescent="0.25">
      <c r="A11" s="22" t="s">
        <v>97</v>
      </c>
      <c r="B11" s="23" t="str">
        <f>'SL Stadt SG Basis'!B10</f>
        <v>Berechnung SL Stadt St.Gallen</v>
      </c>
      <c r="C11" s="7"/>
      <c r="D11" s="56"/>
    </row>
    <row r="12" spans="1:4" x14ac:dyDescent="0.2">
      <c r="A12" s="3"/>
      <c r="B12" s="24"/>
      <c r="C12" s="3"/>
      <c r="D12" s="38"/>
    </row>
    <row r="13" spans="1:4" x14ac:dyDescent="0.2">
      <c r="A13" s="3"/>
      <c r="B13" s="28" t="str">
        <f>'SL Stadt SG Basis'!B12</f>
        <v>Ausgleichsbeitrag gemäss Art. 25 Abs. 1 FAG</v>
      </c>
      <c r="C13" s="5" t="e">
        <f>HLOOKUP(C9,'SL Stadt SG Basis'!C8:C18,5,FALSE)</f>
        <v>#N/A</v>
      </c>
      <c r="D13" s="38"/>
    </row>
    <row r="14" spans="1:4" x14ac:dyDescent="0.2">
      <c r="A14" s="30"/>
      <c r="B14" s="30" t="str">
        <f>'SL Stadt SG Basis'!B13</f>
        <v>zusätzlicher Ausgleichsbeitrag gemäss Art. 25 Abs. 2 FAG</v>
      </c>
      <c r="C14" s="36" t="e">
        <f>HLOOKUP(C9,'SL Stadt SG Basis'!C8:C18,6,FALSE)</f>
        <v>#N/A</v>
      </c>
      <c r="D14" s="32"/>
    </row>
    <row r="15" spans="1:4" x14ac:dyDescent="0.2">
      <c r="A15" s="3"/>
      <c r="B15" s="3"/>
      <c r="C15" s="5"/>
      <c r="D15" s="38"/>
    </row>
    <row r="16" spans="1:4" x14ac:dyDescent="0.2">
      <c r="A16" s="3"/>
      <c r="B16" s="3" t="str">
        <f>'SL Stadt SG Basis'!B15</f>
        <v>Indexstand Juni 2007 (Basis)</v>
      </c>
      <c r="C16" s="5" t="e">
        <f>HLOOKUP(C9,'SL Stadt SG Basis'!C8:C18,8,FALSE)</f>
        <v>#N/A</v>
      </c>
      <c r="D16" s="38" t="s">
        <v>115</v>
      </c>
    </row>
    <row r="17" spans="1:4" x14ac:dyDescent="0.2">
      <c r="A17" s="3"/>
      <c r="B17" s="38" t="str">
        <f>'SL Stadt SG Basis'!B16</f>
        <v>Indexstand Juni 2022</v>
      </c>
      <c r="C17" s="12" t="e">
        <f>HLOOKUP(C9,'SL Stadt SG Basis'!C8:C18,9,FALSE)</f>
        <v>#N/A</v>
      </c>
      <c r="D17" s="38"/>
    </row>
    <row r="18" spans="1:4" x14ac:dyDescent="0.2">
      <c r="A18" s="3"/>
      <c r="B18" s="3"/>
      <c r="C18" s="5"/>
      <c r="D18" s="38"/>
    </row>
    <row r="19" spans="1:4" x14ac:dyDescent="0.2">
      <c r="A19" s="58"/>
      <c r="B19" s="54" t="str">
        <f>'SL Stadt SG Basis'!B18</f>
        <v>Beitrag Sonderlastenausgleich Stadt St.Gallen</v>
      </c>
      <c r="C19" s="55" t="e">
        <f>HLOOKUP(C9,'SL Stadt SG Basis'!C8:C18,11,FALSE)</f>
        <v>#N/A</v>
      </c>
      <c r="D19" s="38"/>
    </row>
  </sheetData>
  <sheetProtection algorithmName="SHA-512" hashValue="mlbfnFKSvTMpMZ8t687X9jOA0cpjsbf2Puraled7hQWciCbnx24c4AnUpKy+idsk50mnCi+lgD6hZ36Rf0w2Lg==" saltValue="nElkoA2Newghb6xMBVKoIA==" spinCount="100000" sheet="1" selectLockedCells="1"/>
  <pageMargins left="0.31496062992125984" right="0.31496062992125984" top="0.59055118110236227" bottom="0.59055118110236227" header="0.31496062992125984" footer="0.31496062992125984"/>
  <pageSetup paperSize="9" scale="90" orientation="portrait" r:id="rId1"/>
  <headerFooter>
    <oddFooter>&amp;C&amp;P von &amp;N&amp;R&amp;D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CB176"/>
  <sheetViews>
    <sheetView zoomScaleNormal="100" workbookViewId="0">
      <pane xSplit="3" ySplit="9" topLeftCell="D10" activePane="bottomRight" state="frozen"/>
      <selection activeCell="B7" sqref="B7:E7"/>
      <selection pane="topRight" activeCell="B7" sqref="B7:E7"/>
      <selection pane="bottomLeft" activeCell="B7" sqref="B7:E7"/>
      <selection pane="bottomRight" activeCell="B7" sqref="B7:E7"/>
    </sheetView>
  </sheetViews>
  <sheetFormatPr baseColWidth="10" defaultRowHeight="12.75" x14ac:dyDescent="0.2"/>
  <cols>
    <col min="1" max="1" width="5.140625" style="3" customWidth="1"/>
    <col min="2" max="2" width="42.28515625" style="3" customWidth="1"/>
    <col min="3" max="78" width="21" style="3" customWidth="1"/>
    <col min="79" max="79" width="2.140625" style="3" customWidth="1"/>
    <col min="80" max="80" width="20.7109375" style="3" bestFit="1" customWidth="1"/>
    <col min="81" max="16384" width="11.42578125" style="38"/>
  </cols>
  <sheetData>
    <row r="1" spans="1:80" x14ac:dyDescent="0.2">
      <c r="A1" s="82" t="s">
        <v>194</v>
      </c>
      <c r="B1"/>
      <c r="C1"/>
      <c r="D1"/>
      <c r="E1"/>
      <c r="F1"/>
      <c r="G1"/>
    </row>
    <row r="2" spans="1:80" x14ac:dyDescent="0.2">
      <c r="A2" t="s">
        <v>195</v>
      </c>
      <c r="B2"/>
      <c r="C2"/>
      <c r="D2"/>
      <c r="E2"/>
      <c r="F2"/>
      <c r="G2"/>
    </row>
    <row r="3" spans="1:80" x14ac:dyDescent="0.2">
      <c r="A3"/>
      <c r="B3"/>
      <c r="C3"/>
      <c r="D3"/>
      <c r="E3"/>
      <c r="F3"/>
      <c r="G3"/>
    </row>
    <row r="4" spans="1:80" x14ac:dyDescent="0.2">
      <c r="A4"/>
      <c r="B4"/>
      <c r="C4"/>
      <c r="D4"/>
      <c r="E4"/>
      <c r="F4"/>
      <c r="G4"/>
    </row>
    <row r="5" spans="1:80" ht="26.25" x14ac:dyDescent="0.4">
      <c r="A5" s="18" t="s">
        <v>361</v>
      </c>
      <c r="D5" s="38"/>
      <c r="E5" s="38"/>
    </row>
    <row r="6" spans="1:80" x14ac:dyDescent="0.2"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</row>
    <row r="7" spans="1:80" x14ac:dyDescent="0.2">
      <c r="B7" s="20" t="s">
        <v>105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</row>
    <row r="8" spans="1:80" s="32" customFormat="1" x14ac:dyDescent="0.2">
      <c r="A8" s="21"/>
      <c r="B8" s="21"/>
      <c r="C8" s="21" t="s">
        <v>79</v>
      </c>
      <c r="D8" s="21" t="s">
        <v>5</v>
      </c>
      <c r="E8" s="21" t="s">
        <v>6</v>
      </c>
      <c r="F8" s="21" t="s">
        <v>7</v>
      </c>
      <c r="G8" s="21" t="s">
        <v>8</v>
      </c>
      <c r="H8" s="21" t="s">
        <v>9</v>
      </c>
      <c r="I8" s="21" t="s">
        <v>10</v>
      </c>
      <c r="J8" s="21" t="s">
        <v>11</v>
      </c>
      <c r="K8" s="21" t="s">
        <v>12</v>
      </c>
      <c r="L8" s="21" t="s">
        <v>13</v>
      </c>
      <c r="M8" s="21" t="s">
        <v>14</v>
      </c>
      <c r="N8" s="21" t="s">
        <v>15</v>
      </c>
      <c r="O8" s="21" t="s">
        <v>16</v>
      </c>
      <c r="P8" s="21" t="s">
        <v>17</v>
      </c>
      <c r="Q8" s="21" t="s">
        <v>18</v>
      </c>
      <c r="R8" s="21" t="s">
        <v>19</v>
      </c>
      <c r="S8" s="21" t="s">
        <v>20</v>
      </c>
      <c r="T8" s="21" t="s">
        <v>21</v>
      </c>
      <c r="U8" s="21" t="s">
        <v>22</v>
      </c>
      <c r="V8" s="21" t="s">
        <v>23</v>
      </c>
      <c r="W8" s="21" t="s">
        <v>24</v>
      </c>
      <c r="X8" s="21" t="s">
        <v>25</v>
      </c>
      <c r="Y8" s="21" t="s">
        <v>26</v>
      </c>
      <c r="Z8" s="21" t="s">
        <v>27</v>
      </c>
      <c r="AA8" s="21" t="s">
        <v>28</v>
      </c>
      <c r="AB8" s="21" t="s">
        <v>29</v>
      </c>
      <c r="AC8" s="21" t="s">
        <v>30</v>
      </c>
      <c r="AD8" s="21" t="s">
        <v>31</v>
      </c>
      <c r="AE8" s="21" t="s">
        <v>32</v>
      </c>
      <c r="AF8" s="21" t="s">
        <v>33</v>
      </c>
      <c r="AG8" s="21" t="s">
        <v>34</v>
      </c>
      <c r="AH8" s="21" t="s">
        <v>35</v>
      </c>
      <c r="AI8" s="21" t="s">
        <v>36</v>
      </c>
      <c r="AJ8" s="21" t="s">
        <v>37</v>
      </c>
      <c r="AK8" s="21" t="s">
        <v>38</v>
      </c>
      <c r="AL8" s="21" t="s">
        <v>39</v>
      </c>
      <c r="AM8" s="21" t="s">
        <v>40</v>
      </c>
      <c r="AN8" s="21" t="s">
        <v>41</v>
      </c>
      <c r="AO8" s="21" t="s">
        <v>42</v>
      </c>
      <c r="AP8" s="21" t="s">
        <v>43</v>
      </c>
      <c r="AQ8" s="21" t="s">
        <v>44</v>
      </c>
      <c r="AR8" s="21" t="s">
        <v>45</v>
      </c>
      <c r="AS8" s="21" t="s">
        <v>46</v>
      </c>
      <c r="AT8" s="21" t="s">
        <v>47</v>
      </c>
      <c r="AU8" s="21" t="s">
        <v>48</v>
      </c>
      <c r="AV8" s="21" t="s">
        <v>49</v>
      </c>
      <c r="AW8" s="21" t="s">
        <v>50</v>
      </c>
      <c r="AX8" s="21" t="s">
        <v>51</v>
      </c>
      <c r="AY8" s="21" t="s">
        <v>52</v>
      </c>
      <c r="AZ8" s="21" t="s">
        <v>53</v>
      </c>
      <c r="BA8" s="21" t="s">
        <v>54</v>
      </c>
      <c r="BB8" s="21" t="s">
        <v>55</v>
      </c>
      <c r="BC8" s="21" t="s">
        <v>56</v>
      </c>
      <c r="BD8" s="21" t="s">
        <v>57</v>
      </c>
      <c r="BE8" s="21" t="s">
        <v>58</v>
      </c>
      <c r="BF8" s="21" t="s">
        <v>59</v>
      </c>
      <c r="BG8" s="21" t="s">
        <v>60</v>
      </c>
      <c r="BH8" s="183" t="s">
        <v>381</v>
      </c>
      <c r="BI8" s="21" t="s">
        <v>61</v>
      </c>
      <c r="BJ8" s="21" t="s">
        <v>62</v>
      </c>
      <c r="BK8" s="21" t="s">
        <v>63</v>
      </c>
      <c r="BL8" s="21" t="s">
        <v>64</v>
      </c>
      <c r="BM8" s="21" t="s">
        <v>65</v>
      </c>
      <c r="BN8" s="21" t="s">
        <v>66</v>
      </c>
      <c r="BO8" s="21" t="s">
        <v>67</v>
      </c>
      <c r="BP8" s="21" t="s">
        <v>68</v>
      </c>
      <c r="BQ8" s="21" t="s">
        <v>69</v>
      </c>
      <c r="BR8" s="21" t="s">
        <v>70</v>
      </c>
      <c r="BS8" s="21" t="s">
        <v>71</v>
      </c>
      <c r="BT8" s="21" t="s">
        <v>72</v>
      </c>
      <c r="BU8" s="21" t="s">
        <v>73</v>
      </c>
      <c r="BV8" s="21" t="s">
        <v>74</v>
      </c>
      <c r="BW8" s="21" t="s">
        <v>75</v>
      </c>
      <c r="BX8" s="21" t="s">
        <v>76</v>
      </c>
      <c r="BY8" s="21" t="s">
        <v>77</v>
      </c>
      <c r="BZ8" s="21" t="s">
        <v>78</v>
      </c>
      <c r="CA8" s="21"/>
      <c r="CB8" s="21" t="s">
        <v>106</v>
      </c>
    </row>
    <row r="10" spans="1:80" s="56" customFormat="1" ht="15.75" x14ac:dyDescent="0.25">
      <c r="A10" s="22" t="s">
        <v>97</v>
      </c>
      <c r="B10" s="23" t="s">
        <v>364</v>
      </c>
      <c r="C10" s="2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</row>
    <row r="11" spans="1:80" x14ac:dyDescent="0.2">
      <c r="B11" s="24"/>
      <c r="C11" s="24"/>
    </row>
    <row r="12" spans="1:80" s="32" customFormat="1" x14ac:dyDescent="0.2">
      <c r="A12" s="25" t="s">
        <v>147</v>
      </c>
      <c r="B12" s="26" t="s">
        <v>4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</row>
    <row r="13" spans="1:80" x14ac:dyDescent="0.2">
      <c r="B13" s="28" t="s">
        <v>88</v>
      </c>
      <c r="C13" s="29">
        <f>C19/C17</f>
        <v>1.1429653812687708</v>
      </c>
      <c r="D13" s="10">
        <v>1.41</v>
      </c>
      <c r="E13" s="10">
        <v>1.33</v>
      </c>
      <c r="F13" s="10">
        <v>1.19</v>
      </c>
      <c r="G13" s="10">
        <v>1.27</v>
      </c>
      <c r="H13" s="10">
        <v>0.75</v>
      </c>
      <c r="I13" s="10">
        <v>0.98</v>
      </c>
      <c r="J13" s="10">
        <v>1.1499999999999999</v>
      </c>
      <c r="K13" s="10">
        <v>1.34</v>
      </c>
      <c r="L13" s="10">
        <v>0.82</v>
      </c>
      <c r="M13" s="10">
        <v>1.19</v>
      </c>
      <c r="N13" s="10">
        <v>1.25</v>
      </c>
      <c r="O13" s="10">
        <v>0.96</v>
      </c>
      <c r="P13" s="10">
        <v>1.29</v>
      </c>
      <c r="Q13" s="10">
        <v>0.89</v>
      </c>
      <c r="R13" s="10">
        <v>1.19</v>
      </c>
      <c r="S13" s="10">
        <v>1.0900000000000001</v>
      </c>
      <c r="T13" s="10">
        <v>0.87</v>
      </c>
      <c r="U13" s="10">
        <v>0.95</v>
      </c>
      <c r="V13" s="10">
        <v>0.67</v>
      </c>
      <c r="W13" s="10">
        <v>0.84</v>
      </c>
      <c r="X13" s="10">
        <v>0.76</v>
      </c>
      <c r="Y13" s="10">
        <v>1.04</v>
      </c>
      <c r="Z13" s="10">
        <v>1.1499999999999999</v>
      </c>
      <c r="AA13" s="10">
        <v>1.22</v>
      </c>
      <c r="AB13" s="10">
        <v>1.19</v>
      </c>
      <c r="AC13" s="10">
        <v>1.02</v>
      </c>
      <c r="AD13" s="10">
        <v>1.19</v>
      </c>
      <c r="AE13" s="10">
        <v>0.88</v>
      </c>
      <c r="AF13" s="10">
        <v>1.25</v>
      </c>
      <c r="AG13" s="10">
        <v>1.05</v>
      </c>
      <c r="AH13" s="10">
        <v>1.18</v>
      </c>
      <c r="AI13" s="10">
        <v>1.1000000000000001</v>
      </c>
      <c r="AJ13" s="10">
        <v>1.6</v>
      </c>
      <c r="AK13" s="10">
        <v>1.42</v>
      </c>
      <c r="AL13" s="10">
        <v>1.29</v>
      </c>
      <c r="AM13" s="10">
        <v>0.92</v>
      </c>
      <c r="AN13" s="10">
        <v>1.42</v>
      </c>
      <c r="AO13" s="10">
        <v>1.33</v>
      </c>
      <c r="AP13" s="10">
        <v>1.3</v>
      </c>
      <c r="AQ13" s="10">
        <v>1.1499999999999999</v>
      </c>
      <c r="AR13" s="10">
        <v>1.1499999999999999</v>
      </c>
      <c r="AS13" s="10">
        <v>1.2</v>
      </c>
      <c r="AT13" s="10">
        <v>1.1499999999999999</v>
      </c>
      <c r="AU13" s="10">
        <v>1.25</v>
      </c>
      <c r="AV13" s="10">
        <v>1.3</v>
      </c>
      <c r="AW13" s="10">
        <v>1.06</v>
      </c>
      <c r="AX13" s="10">
        <v>1.1299999999999999</v>
      </c>
      <c r="AY13" s="10">
        <v>1.18</v>
      </c>
      <c r="AZ13" s="10">
        <v>1.1599999999999999</v>
      </c>
      <c r="BA13" s="10">
        <v>0.76</v>
      </c>
      <c r="BB13" s="10">
        <v>1.21</v>
      </c>
      <c r="BC13" s="10">
        <v>1.28</v>
      </c>
      <c r="BD13" s="10">
        <v>1.25</v>
      </c>
      <c r="BE13" s="10">
        <v>1.39</v>
      </c>
      <c r="BF13" s="10">
        <v>1.32</v>
      </c>
      <c r="BG13" s="10">
        <v>1.37</v>
      </c>
      <c r="BH13" s="10">
        <v>1.3261409369678978</v>
      </c>
      <c r="BI13" s="10">
        <v>1.29</v>
      </c>
      <c r="BJ13" s="10">
        <v>1.1499999999999999</v>
      </c>
      <c r="BK13" s="10">
        <v>1.37</v>
      </c>
      <c r="BL13" s="10">
        <v>1.33</v>
      </c>
      <c r="BM13" s="10">
        <v>1.25</v>
      </c>
      <c r="BN13" s="10">
        <v>1.25</v>
      </c>
      <c r="BO13" s="10">
        <v>1.33</v>
      </c>
      <c r="BP13" s="10">
        <v>1.33</v>
      </c>
      <c r="BQ13" s="10">
        <v>1.53</v>
      </c>
      <c r="BR13" s="10">
        <v>1.18</v>
      </c>
      <c r="BS13" s="10">
        <v>0.82</v>
      </c>
      <c r="BT13" s="10">
        <v>1</v>
      </c>
      <c r="BU13" s="10">
        <v>1.29</v>
      </c>
      <c r="BV13" s="10">
        <v>1.1399999999999999</v>
      </c>
      <c r="BW13" s="10">
        <v>1.1599999999999999</v>
      </c>
      <c r="BX13" s="10">
        <v>1.18</v>
      </c>
      <c r="BY13" s="10">
        <v>1.22</v>
      </c>
      <c r="BZ13" s="10">
        <v>1.07</v>
      </c>
      <c r="CB13" s="3" t="s">
        <v>107</v>
      </c>
    </row>
    <row r="14" spans="1:80" s="32" customFormat="1" x14ac:dyDescent="0.2">
      <c r="A14" s="30"/>
      <c r="B14" s="31"/>
    </row>
    <row r="15" spans="1:80" x14ac:dyDescent="0.2">
      <c r="B15" s="33" t="s">
        <v>94</v>
      </c>
      <c r="C15" s="4">
        <f>SUM(D15:BZ15)</f>
        <v>1134522070.1199999</v>
      </c>
      <c r="D15" s="12">
        <v>170817281.00999999</v>
      </c>
      <c r="E15" s="12">
        <v>18462358.470000003</v>
      </c>
      <c r="F15" s="12">
        <v>2823422.8</v>
      </c>
      <c r="G15" s="12">
        <v>2279642.06</v>
      </c>
      <c r="H15" s="12">
        <v>16486195.699999999</v>
      </c>
      <c r="I15" s="12">
        <v>22471405.25</v>
      </c>
      <c r="J15" s="12">
        <v>7561718.0800000001</v>
      </c>
      <c r="K15" s="12">
        <v>1971342.89</v>
      </c>
      <c r="L15" s="12">
        <v>4506358.66</v>
      </c>
      <c r="M15" s="12">
        <v>2374657.67</v>
      </c>
      <c r="N15" s="12">
        <v>5070863.59</v>
      </c>
      <c r="O15" s="12">
        <v>18224786.219999999</v>
      </c>
      <c r="P15" s="12">
        <v>14549701.76</v>
      </c>
      <c r="Q15" s="12">
        <v>15931079.91</v>
      </c>
      <c r="R15" s="12">
        <v>5984678.6399999997</v>
      </c>
      <c r="S15" s="12">
        <v>9216368.8000000007</v>
      </c>
      <c r="T15" s="12">
        <v>17925085.77</v>
      </c>
      <c r="U15" s="12">
        <v>10573107.810000001</v>
      </c>
      <c r="V15" s="12">
        <v>15918942.02</v>
      </c>
      <c r="W15" s="12">
        <v>14663176.43</v>
      </c>
      <c r="X15" s="12">
        <v>22689064.18</v>
      </c>
      <c r="Y15" s="12">
        <v>10439079.68</v>
      </c>
      <c r="Z15" s="12">
        <v>4104449.8999999994</v>
      </c>
      <c r="AA15" s="12">
        <v>24507404.620000005</v>
      </c>
      <c r="AB15" s="12">
        <v>2948279.39</v>
      </c>
      <c r="AC15" s="12">
        <v>17321155.219999999</v>
      </c>
      <c r="AD15" s="12">
        <v>4622140.32</v>
      </c>
      <c r="AE15" s="12">
        <v>11596245.73</v>
      </c>
      <c r="AF15" s="12">
        <v>6780773.71</v>
      </c>
      <c r="AG15" s="12">
        <v>14494337.849999998</v>
      </c>
      <c r="AH15" s="12">
        <v>26676203.299999997</v>
      </c>
      <c r="AI15" s="12">
        <v>9468911.5500000007</v>
      </c>
      <c r="AJ15" s="12">
        <v>8655066.7100000009</v>
      </c>
      <c r="AK15" s="12">
        <v>12147565.059999999</v>
      </c>
      <c r="AL15" s="12">
        <v>9072831.7800000012</v>
      </c>
      <c r="AM15" s="12">
        <v>15794152.23</v>
      </c>
      <c r="AN15" s="12">
        <v>2479999.6800000002</v>
      </c>
      <c r="AO15" s="12">
        <v>16678893.58</v>
      </c>
      <c r="AP15" s="12">
        <v>8891749.2000000011</v>
      </c>
      <c r="AQ15" s="12">
        <v>12214068.030000001</v>
      </c>
      <c r="AR15" s="12">
        <v>6299946.5600000005</v>
      </c>
      <c r="AS15" s="12">
        <v>4955185.2799999993</v>
      </c>
      <c r="AT15" s="12">
        <v>4722006.34</v>
      </c>
      <c r="AU15" s="12">
        <v>6671127.3900000006</v>
      </c>
      <c r="AV15" s="12">
        <v>5514678.9399999995</v>
      </c>
      <c r="AW15" s="12">
        <v>9775448.2599999998</v>
      </c>
      <c r="AX15" s="12">
        <v>13325475.680000002</v>
      </c>
      <c r="AY15" s="12">
        <v>12493083.77</v>
      </c>
      <c r="AZ15" s="12">
        <v>9440201.0600000005</v>
      </c>
      <c r="BA15" s="12">
        <v>99547874.170000002</v>
      </c>
      <c r="BB15" s="12">
        <v>21933039.240000002</v>
      </c>
      <c r="BC15" s="12">
        <v>5522422.0800000001</v>
      </c>
      <c r="BD15" s="12">
        <v>6235157.79</v>
      </c>
      <c r="BE15" s="12">
        <v>8312219.9000000004</v>
      </c>
      <c r="BF15" s="12">
        <v>14951595.17</v>
      </c>
      <c r="BG15" s="12">
        <v>3576357.1199999996</v>
      </c>
      <c r="BH15" s="12">
        <v>9518888.8100000005</v>
      </c>
      <c r="BI15" s="12">
        <v>9029590.9500000011</v>
      </c>
      <c r="BJ15" s="12">
        <v>2650780.0200000005</v>
      </c>
      <c r="BK15" s="12">
        <v>4632134.24</v>
      </c>
      <c r="BL15" s="12">
        <v>17198677.73</v>
      </c>
      <c r="BM15" s="12">
        <v>7993876.9199999999</v>
      </c>
      <c r="BN15" s="12">
        <v>13724271.850000001</v>
      </c>
      <c r="BO15" s="12">
        <v>24955190.349999998</v>
      </c>
      <c r="BP15" s="12">
        <v>18612597.170000002</v>
      </c>
      <c r="BQ15" s="12">
        <v>6480959.7300000004</v>
      </c>
      <c r="BR15" s="12">
        <v>57909642.170000002</v>
      </c>
      <c r="BS15" s="12">
        <v>15331847.35</v>
      </c>
      <c r="BT15" s="12">
        <v>8945297.0800000001</v>
      </c>
      <c r="BU15" s="12">
        <v>3025261.37</v>
      </c>
      <c r="BV15" s="12">
        <v>6594645.3200000003</v>
      </c>
      <c r="BW15" s="12">
        <v>40088462.129999995</v>
      </c>
      <c r="BX15" s="12">
        <v>4811660.709999999</v>
      </c>
      <c r="BY15" s="12">
        <v>6989118.6399999997</v>
      </c>
      <c r="BZ15" s="12">
        <v>23358803.57</v>
      </c>
      <c r="CB15" s="3" t="s">
        <v>107</v>
      </c>
    </row>
    <row r="16" spans="1:80" x14ac:dyDescent="0.2">
      <c r="B16" s="33" t="s">
        <v>86</v>
      </c>
      <c r="C16" s="4">
        <f>SUM(D16:BZ16)</f>
        <v>6223197.275780485</v>
      </c>
      <c r="D16" s="9">
        <v>1818030.1780674513</v>
      </c>
      <c r="E16" s="9">
        <v>201403.71511387161</v>
      </c>
      <c r="F16" s="9">
        <v>763.08695652173924</v>
      </c>
      <c r="G16" s="9">
        <v>57.591304347826082</v>
      </c>
      <c r="H16" s="9">
        <v>2343.8173913043483</v>
      </c>
      <c r="I16" s="9">
        <v>65036.962079110825</v>
      </c>
      <c r="J16" s="9">
        <v>100519.31718426502</v>
      </c>
      <c r="K16" s="9">
        <v>-7257.5602484472047</v>
      </c>
      <c r="L16" s="9">
        <v>7252.9730848861291</v>
      </c>
      <c r="M16" s="9">
        <v>1607.0521739130436</v>
      </c>
      <c r="N16" s="9">
        <v>8297.1574370709368</v>
      </c>
      <c r="O16" s="9">
        <v>44690.001460172156</v>
      </c>
      <c r="P16" s="9">
        <v>207937.58300098073</v>
      </c>
      <c r="Q16" s="9">
        <v>-20985.470436961958</v>
      </c>
      <c r="R16" s="9">
        <v>35086.062700228838</v>
      </c>
      <c r="S16" s="9">
        <v>163873.97929606627</v>
      </c>
      <c r="T16" s="9">
        <v>139735.36074970034</v>
      </c>
      <c r="U16" s="9">
        <v>99311.201830663616</v>
      </c>
      <c r="V16" s="9">
        <v>33269.114874141866</v>
      </c>
      <c r="W16" s="9">
        <v>95384.313501144192</v>
      </c>
      <c r="X16" s="9">
        <v>19371.010395554098</v>
      </c>
      <c r="Y16" s="9">
        <v>74047.573913043467</v>
      </c>
      <c r="Z16" s="9">
        <v>17798.248033126292</v>
      </c>
      <c r="AA16" s="9">
        <v>111450.53257055685</v>
      </c>
      <c r="AB16" s="9">
        <v>4539.1304347826099</v>
      </c>
      <c r="AC16" s="9">
        <v>53900.726664487316</v>
      </c>
      <c r="AD16" s="9">
        <v>58844.826086956527</v>
      </c>
      <c r="AE16" s="9">
        <v>39220.579274272633</v>
      </c>
      <c r="AF16" s="9">
        <v>25749.573913043481</v>
      </c>
      <c r="AG16" s="9">
        <v>34419.806864988561</v>
      </c>
      <c r="AH16" s="9">
        <v>58660.475602048624</v>
      </c>
      <c r="AI16" s="9">
        <v>82906.086062983522</v>
      </c>
      <c r="AJ16" s="9">
        <v>12794.346976136003</v>
      </c>
      <c r="AK16" s="9">
        <v>74864.136689549967</v>
      </c>
      <c r="AL16" s="9">
        <v>14357.304173477172</v>
      </c>
      <c r="AM16" s="9">
        <v>134884.67429443172</v>
      </c>
      <c r="AN16" s="9">
        <v>6998.4136645962726</v>
      </c>
      <c r="AO16" s="9">
        <v>44807.308880897879</v>
      </c>
      <c r="AP16" s="9">
        <v>47067.57452326468</v>
      </c>
      <c r="AQ16" s="9">
        <v>23662.09244851258</v>
      </c>
      <c r="AR16" s="9">
        <v>14516.55610766045</v>
      </c>
      <c r="AS16" s="9">
        <v>19004.304347826088</v>
      </c>
      <c r="AT16" s="9">
        <v>22891.269565217393</v>
      </c>
      <c r="AU16" s="9">
        <v>74175.469565217383</v>
      </c>
      <c r="AV16" s="9">
        <v>25893.686956521735</v>
      </c>
      <c r="AW16" s="9">
        <v>29474.060869565219</v>
      </c>
      <c r="AX16" s="9">
        <v>133466.78136645962</v>
      </c>
      <c r="AY16" s="9">
        <v>53912.44057971015</v>
      </c>
      <c r="AZ16" s="9">
        <v>10298.876691729325</v>
      </c>
      <c r="BA16" s="9">
        <v>196997.27300860849</v>
      </c>
      <c r="BB16" s="9">
        <v>40464.221510297488</v>
      </c>
      <c r="BC16" s="9">
        <v>32229.043478260872</v>
      </c>
      <c r="BD16" s="9">
        <v>29717.833932657737</v>
      </c>
      <c r="BE16" s="9">
        <v>37186.060869565219</v>
      </c>
      <c r="BF16" s="9">
        <v>25403.052173913034</v>
      </c>
      <c r="BG16" s="9">
        <v>28385.956521739128</v>
      </c>
      <c r="BH16" s="9">
        <v>92074.325640187424</v>
      </c>
      <c r="BI16" s="9">
        <v>41646.308924485129</v>
      </c>
      <c r="BJ16" s="9">
        <v>1278.060869565219</v>
      </c>
      <c r="BK16" s="9">
        <v>4539.3652173913069</v>
      </c>
      <c r="BL16" s="9">
        <v>55826.347826086952</v>
      </c>
      <c r="BM16" s="9">
        <v>26417.095652173917</v>
      </c>
      <c r="BN16" s="9">
        <v>4274.2118993134936</v>
      </c>
      <c r="BO16" s="9">
        <v>782130.01581262937</v>
      </c>
      <c r="BP16" s="9">
        <v>40098.405491990838</v>
      </c>
      <c r="BQ16" s="9">
        <v>42499.130434782608</v>
      </c>
      <c r="BR16" s="9">
        <v>385908.10251716251</v>
      </c>
      <c r="BS16" s="9">
        <v>41927.200000000012</v>
      </c>
      <c r="BT16" s="9">
        <v>-838.21189931350091</v>
      </c>
      <c r="BU16" s="9">
        <v>-2990.7406777814103</v>
      </c>
      <c r="BV16" s="9">
        <v>-26745.530434782606</v>
      </c>
      <c r="BW16" s="9">
        <v>78130.92651193199</v>
      </c>
      <c r="BX16" s="9">
        <v>-3834.434782608696</v>
      </c>
      <c r="BY16" s="9">
        <v>-1940.0090007627787</v>
      </c>
      <c r="BZ16" s="9">
        <v>-47921.040754059053</v>
      </c>
      <c r="CB16" s="3" t="s">
        <v>107</v>
      </c>
    </row>
    <row r="17" spans="1:80" x14ac:dyDescent="0.2">
      <c r="B17" s="33" t="s">
        <v>95</v>
      </c>
      <c r="C17" s="4">
        <f>SUM(D17:BZ17)</f>
        <v>1128298872.8442192</v>
      </c>
      <c r="D17" s="4">
        <f>D15-D16</f>
        <v>168999250.83193254</v>
      </c>
      <c r="E17" s="4">
        <f t="shared" ref="E17:BN17" si="0">E15-E16</f>
        <v>18260954.754886132</v>
      </c>
      <c r="F17" s="4">
        <f t="shared" si="0"/>
        <v>2822659.7130434779</v>
      </c>
      <c r="G17" s="4">
        <f t="shared" si="0"/>
        <v>2279584.4686956522</v>
      </c>
      <c r="H17" s="4">
        <f t="shared" si="0"/>
        <v>16483851.882608695</v>
      </c>
      <c r="I17" s="4">
        <f t="shared" si="0"/>
        <v>22406368.287920889</v>
      </c>
      <c r="J17" s="4">
        <f t="shared" si="0"/>
        <v>7461198.7628157353</v>
      </c>
      <c r="K17" s="4">
        <f t="shared" si="0"/>
        <v>1978600.450248447</v>
      </c>
      <c r="L17" s="4">
        <f t="shared" si="0"/>
        <v>4499105.6869151136</v>
      </c>
      <c r="M17" s="4">
        <f t="shared" si="0"/>
        <v>2373050.6178260869</v>
      </c>
      <c r="N17" s="4">
        <f t="shared" si="0"/>
        <v>5062566.4325629286</v>
      </c>
      <c r="O17" s="4">
        <f t="shared" si="0"/>
        <v>18180096.218539827</v>
      </c>
      <c r="P17" s="4">
        <f t="shared" si="0"/>
        <v>14341764.176999019</v>
      </c>
      <c r="Q17" s="4">
        <f t="shared" si="0"/>
        <v>15952065.380436962</v>
      </c>
      <c r="R17" s="4">
        <f t="shared" si="0"/>
        <v>5949592.5772997709</v>
      </c>
      <c r="S17" s="4">
        <f t="shared" si="0"/>
        <v>9052494.8207039349</v>
      </c>
      <c r="T17" s="4">
        <f t="shared" si="0"/>
        <v>17785350.4092503</v>
      </c>
      <c r="U17" s="4">
        <f t="shared" si="0"/>
        <v>10473796.608169338</v>
      </c>
      <c r="V17" s="4">
        <f t="shared" si="0"/>
        <v>15885672.905125858</v>
      </c>
      <c r="W17" s="4">
        <f t="shared" si="0"/>
        <v>14567792.116498856</v>
      </c>
      <c r="X17" s="4">
        <f t="shared" si="0"/>
        <v>22669693.169604447</v>
      </c>
      <c r="Y17" s="4">
        <f t="shared" si="0"/>
        <v>10365032.106086956</v>
      </c>
      <c r="Z17" s="4">
        <f t="shared" si="0"/>
        <v>4086651.6519668731</v>
      </c>
      <c r="AA17" s="4">
        <f t="shared" si="0"/>
        <v>24395954.087429449</v>
      </c>
      <c r="AB17" s="4">
        <f t="shared" si="0"/>
        <v>2943740.2595652174</v>
      </c>
      <c r="AC17" s="4">
        <f t="shared" si="0"/>
        <v>17267254.493335512</v>
      </c>
      <c r="AD17" s="4">
        <f t="shared" si="0"/>
        <v>4563295.4939130442</v>
      </c>
      <c r="AE17" s="4">
        <f t="shared" si="0"/>
        <v>11557025.150725728</v>
      </c>
      <c r="AF17" s="4">
        <f t="shared" si="0"/>
        <v>6755024.1360869566</v>
      </c>
      <c r="AG17" s="4">
        <f t="shared" si="0"/>
        <v>14459918.04313501</v>
      </c>
      <c r="AH17" s="4">
        <f t="shared" si="0"/>
        <v>26617542.824397948</v>
      </c>
      <c r="AI17" s="4">
        <f t="shared" si="0"/>
        <v>9386005.4639370181</v>
      </c>
      <c r="AJ17" s="4">
        <f t="shared" si="0"/>
        <v>8642272.3630238641</v>
      </c>
      <c r="AK17" s="4">
        <f t="shared" si="0"/>
        <v>12072700.923310449</v>
      </c>
      <c r="AL17" s="4">
        <f t="shared" si="0"/>
        <v>9058474.4758265242</v>
      </c>
      <c r="AM17" s="4">
        <f t="shared" si="0"/>
        <v>15659267.555705568</v>
      </c>
      <c r="AN17" s="4">
        <f t="shared" si="0"/>
        <v>2473001.266335404</v>
      </c>
      <c r="AO17" s="4">
        <f t="shared" si="0"/>
        <v>16634086.271119103</v>
      </c>
      <c r="AP17" s="4">
        <f t="shared" si="0"/>
        <v>8844681.6254767366</v>
      </c>
      <c r="AQ17" s="4">
        <f t="shared" si="0"/>
        <v>12190405.937551489</v>
      </c>
      <c r="AR17" s="4">
        <f t="shared" si="0"/>
        <v>6285430.0038923398</v>
      </c>
      <c r="AS17" s="4">
        <f t="shared" si="0"/>
        <v>4936180.9756521732</v>
      </c>
      <c r="AT17" s="4">
        <f t="shared" si="0"/>
        <v>4699115.0704347827</v>
      </c>
      <c r="AU17" s="4">
        <f t="shared" si="0"/>
        <v>6596951.9204347832</v>
      </c>
      <c r="AV17" s="4">
        <f t="shared" si="0"/>
        <v>5488785.2530434774</v>
      </c>
      <c r="AW17" s="4">
        <f t="shared" si="0"/>
        <v>9745974.1991304345</v>
      </c>
      <c r="AX17" s="4">
        <f t="shared" si="0"/>
        <v>13192008.898633542</v>
      </c>
      <c r="AY17" s="4">
        <f t="shared" si="0"/>
        <v>12439171.329420289</v>
      </c>
      <c r="AZ17" s="4">
        <f t="shared" si="0"/>
        <v>9429902.1833082717</v>
      </c>
      <c r="BA17" s="4">
        <f t="shared" si="0"/>
        <v>99350876.896991387</v>
      </c>
      <c r="BB17" s="4">
        <f t="shared" si="0"/>
        <v>21892575.018489704</v>
      </c>
      <c r="BC17" s="4">
        <f t="shared" si="0"/>
        <v>5490193.0365217393</v>
      </c>
      <c r="BD17" s="4">
        <f t="shared" si="0"/>
        <v>6205439.9560673423</v>
      </c>
      <c r="BE17" s="4">
        <f t="shared" si="0"/>
        <v>8275033.8391304351</v>
      </c>
      <c r="BF17" s="4">
        <f t="shared" si="0"/>
        <v>14926192.117826087</v>
      </c>
      <c r="BG17" s="4">
        <f t="shared" si="0"/>
        <v>3547971.1634782604</v>
      </c>
      <c r="BH17" s="4">
        <f t="shared" ref="BH17" si="1">BH15-BH16</f>
        <v>9426814.4843598139</v>
      </c>
      <c r="BI17" s="4">
        <f t="shared" si="0"/>
        <v>8987944.6410755161</v>
      </c>
      <c r="BJ17" s="4">
        <f t="shared" si="0"/>
        <v>2649501.9591304353</v>
      </c>
      <c r="BK17" s="4">
        <f t="shared" si="0"/>
        <v>4627594.8747826088</v>
      </c>
      <c r="BL17" s="4">
        <f t="shared" si="0"/>
        <v>17142851.382173914</v>
      </c>
      <c r="BM17" s="4">
        <f t="shared" si="0"/>
        <v>7967459.8243478257</v>
      </c>
      <c r="BN17" s="4">
        <f t="shared" si="0"/>
        <v>13719997.638100687</v>
      </c>
      <c r="BO17" s="4">
        <f t="shared" ref="BO17:BZ17" si="2">BO15-BO16</f>
        <v>24173060.33418737</v>
      </c>
      <c r="BP17" s="4">
        <f t="shared" si="2"/>
        <v>18572498.764508013</v>
      </c>
      <c r="BQ17" s="4">
        <f t="shared" si="2"/>
        <v>6438460.5995652182</v>
      </c>
      <c r="BR17" s="4">
        <f t="shared" si="2"/>
        <v>57523734.067482837</v>
      </c>
      <c r="BS17" s="4">
        <f t="shared" si="2"/>
        <v>15289920.15</v>
      </c>
      <c r="BT17" s="4">
        <f t="shared" si="2"/>
        <v>8946135.2918993142</v>
      </c>
      <c r="BU17" s="4">
        <f t="shared" si="2"/>
        <v>3028252.1106777815</v>
      </c>
      <c r="BV17" s="4">
        <f t="shared" si="2"/>
        <v>6621390.8504347829</v>
      </c>
      <c r="BW17" s="4">
        <f t="shared" si="2"/>
        <v>40010331.203488067</v>
      </c>
      <c r="BX17" s="4">
        <f t="shared" si="2"/>
        <v>4815495.1447826074</v>
      </c>
      <c r="BY17" s="4">
        <f t="shared" si="2"/>
        <v>6991058.649000762</v>
      </c>
      <c r="BZ17" s="4">
        <f t="shared" si="2"/>
        <v>23406724.610754058</v>
      </c>
    </row>
    <row r="18" spans="1:80" x14ac:dyDescent="0.2">
      <c r="B18" s="3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</row>
    <row r="19" spans="1:80" x14ac:dyDescent="0.2">
      <c r="B19" s="33" t="s">
        <v>96</v>
      </c>
      <c r="C19" s="4">
        <f>SUM(D19:BZ19)</f>
        <v>1289606551.3855174</v>
      </c>
      <c r="D19" s="4">
        <f>D17*D13</f>
        <v>238288943.67302486</v>
      </c>
      <c r="E19" s="4">
        <f t="shared" ref="E19:AI19" si="3">E17*E13</f>
        <v>24287069.823998556</v>
      </c>
      <c r="F19" s="4">
        <f t="shared" si="3"/>
        <v>3358965.0585217383</v>
      </c>
      <c r="G19" s="4">
        <f t="shared" si="3"/>
        <v>2895072.2752434784</v>
      </c>
      <c r="H19" s="4">
        <f t="shared" si="3"/>
        <v>12362888.911956521</v>
      </c>
      <c r="I19" s="4">
        <f t="shared" si="3"/>
        <v>21958240.922162469</v>
      </c>
      <c r="J19" s="4">
        <f t="shared" si="3"/>
        <v>8580378.5772380941</v>
      </c>
      <c r="K19" s="4">
        <f t="shared" si="3"/>
        <v>2651324.6033329191</v>
      </c>
      <c r="L19" s="4">
        <f t="shared" si="3"/>
        <v>3689266.6632703929</v>
      </c>
      <c r="M19" s="4">
        <f t="shared" si="3"/>
        <v>2823930.2352130432</v>
      </c>
      <c r="N19" s="4">
        <f t="shared" si="3"/>
        <v>6328208.0407036608</v>
      </c>
      <c r="O19" s="4">
        <f t="shared" si="3"/>
        <v>17452892.369798232</v>
      </c>
      <c r="P19" s="4">
        <f t="shared" si="3"/>
        <v>18500875.788328737</v>
      </c>
      <c r="Q19" s="4">
        <f t="shared" si="3"/>
        <v>14197338.188588897</v>
      </c>
      <c r="R19" s="4">
        <f t="shared" si="3"/>
        <v>7080015.1669867272</v>
      </c>
      <c r="S19" s="4">
        <f t="shared" si="3"/>
        <v>9867219.3545672894</v>
      </c>
      <c r="T19" s="4">
        <f t="shared" si="3"/>
        <v>15473254.856047761</v>
      </c>
      <c r="U19" s="4">
        <f t="shared" si="3"/>
        <v>9950106.7777608708</v>
      </c>
      <c r="V19" s="4">
        <f t="shared" si="3"/>
        <v>10643400.846434325</v>
      </c>
      <c r="W19" s="4">
        <f t="shared" si="3"/>
        <v>12236945.377859039</v>
      </c>
      <c r="X19" s="4">
        <f t="shared" si="3"/>
        <v>17228966.80889938</v>
      </c>
      <c r="Y19" s="4">
        <f t="shared" si="3"/>
        <v>10779633.390330436</v>
      </c>
      <c r="Z19" s="4">
        <f t="shared" si="3"/>
        <v>4699649.399761904</v>
      </c>
      <c r="AA19" s="4">
        <f t="shared" si="3"/>
        <v>29763063.986663926</v>
      </c>
      <c r="AB19" s="4">
        <f t="shared" si="3"/>
        <v>3503050.9088826086</v>
      </c>
      <c r="AC19" s="4">
        <f t="shared" si="3"/>
        <v>17612599.58320222</v>
      </c>
      <c r="AD19" s="4">
        <f t="shared" si="3"/>
        <v>5430321.6377565227</v>
      </c>
      <c r="AE19" s="4">
        <f t="shared" si="3"/>
        <v>10170182.132638641</v>
      </c>
      <c r="AF19" s="4">
        <f t="shared" si="3"/>
        <v>8443780.1701086964</v>
      </c>
      <c r="AG19" s="4">
        <f t="shared" si="3"/>
        <v>15182913.945291761</v>
      </c>
      <c r="AH19" s="4">
        <f t="shared" si="3"/>
        <v>31408700.532789577</v>
      </c>
      <c r="AI19" s="4">
        <f t="shared" si="3"/>
        <v>10324606.01033072</v>
      </c>
      <c r="AJ19" s="4">
        <f t="shared" ref="AJ19:BM19" si="4">AJ17*AJ13</f>
        <v>13827635.780838184</v>
      </c>
      <c r="AK19" s="4">
        <f t="shared" si="4"/>
        <v>17143235.311100837</v>
      </c>
      <c r="AL19" s="4">
        <f t="shared" si="4"/>
        <v>11685432.073816216</v>
      </c>
      <c r="AM19" s="4">
        <f t="shared" si="4"/>
        <v>14406526.151249124</v>
      </c>
      <c r="AN19" s="4">
        <f t="shared" si="4"/>
        <v>3511661.7981962734</v>
      </c>
      <c r="AO19" s="4">
        <f t="shared" si="4"/>
        <v>22123334.740588408</v>
      </c>
      <c r="AP19" s="4">
        <f t="shared" si="4"/>
        <v>11498086.113119759</v>
      </c>
      <c r="AQ19" s="4">
        <f t="shared" si="4"/>
        <v>14018966.828184212</v>
      </c>
      <c r="AR19" s="4">
        <f t="shared" si="4"/>
        <v>7228244.5044761905</v>
      </c>
      <c r="AS19" s="4">
        <f t="shared" si="4"/>
        <v>5923417.170782608</v>
      </c>
      <c r="AT19" s="4">
        <f t="shared" si="4"/>
        <v>5403982.3309999993</v>
      </c>
      <c r="AU19" s="4">
        <f t="shared" si="4"/>
        <v>8246189.9005434792</v>
      </c>
      <c r="AV19" s="4">
        <f t="shared" si="4"/>
        <v>7135420.8289565211</v>
      </c>
      <c r="AW19" s="4">
        <f t="shared" si="4"/>
        <v>10330732.651078261</v>
      </c>
      <c r="AX19" s="4">
        <f t="shared" si="4"/>
        <v>14906970.055455901</v>
      </c>
      <c r="AY19" s="4">
        <f t="shared" si="4"/>
        <v>14678222.168715941</v>
      </c>
      <c r="AZ19" s="4">
        <f t="shared" si="4"/>
        <v>10938686.532637594</v>
      </c>
      <c r="BA19" s="4">
        <f t="shared" si="4"/>
        <v>75506666.441713452</v>
      </c>
      <c r="BB19" s="4">
        <f t="shared" si="4"/>
        <v>26490015.77237254</v>
      </c>
      <c r="BC19" s="4">
        <f t="shared" si="4"/>
        <v>7027447.0867478261</v>
      </c>
      <c r="BD19" s="4">
        <f t="shared" si="4"/>
        <v>7756799.9450841779</v>
      </c>
      <c r="BE19" s="4">
        <f t="shared" si="4"/>
        <v>11502297.036391305</v>
      </c>
      <c r="BF19" s="4">
        <f t="shared" si="4"/>
        <v>19702573.595530435</v>
      </c>
      <c r="BG19" s="4">
        <f>BG17*BG13</f>
        <v>4860720.4939652169</v>
      </c>
      <c r="BH19" s="4">
        <f t="shared" si="4"/>
        <v>12501284.592911474</v>
      </c>
      <c r="BI19" s="4">
        <f t="shared" si="4"/>
        <v>11594448.586987415</v>
      </c>
      <c r="BJ19" s="4">
        <f t="shared" si="4"/>
        <v>3046927.2530000005</v>
      </c>
      <c r="BK19" s="4">
        <f t="shared" si="4"/>
        <v>6339804.9784521749</v>
      </c>
      <c r="BL19" s="4">
        <f t="shared" si="4"/>
        <v>22799992.338291306</v>
      </c>
      <c r="BM19" s="4">
        <f t="shared" si="4"/>
        <v>9959324.7804347817</v>
      </c>
      <c r="BN19" s="4">
        <f t="shared" ref="BN19:BZ19" si="5">BN17*BN13</f>
        <v>17149997.047625858</v>
      </c>
      <c r="BO19" s="4">
        <f t="shared" si="5"/>
        <v>32150170.244469203</v>
      </c>
      <c r="BP19" s="4">
        <f t="shared" si="5"/>
        <v>24701423.356795657</v>
      </c>
      <c r="BQ19" s="4">
        <f t="shared" si="5"/>
        <v>9850844.7173347846</v>
      </c>
      <c r="BR19" s="4">
        <f t="shared" si="5"/>
        <v>67878006.199629739</v>
      </c>
      <c r="BS19" s="4">
        <f t="shared" si="5"/>
        <v>12537734.523</v>
      </c>
      <c r="BT19" s="4">
        <f t="shared" si="5"/>
        <v>8946135.2918993142</v>
      </c>
      <c r="BU19" s="4">
        <f t="shared" si="5"/>
        <v>3906445.2227743384</v>
      </c>
      <c r="BV19" s="4">
        <f t="shared" si="5"/>
        <v>7548385.5694956519</v>
      </c>
      <c r="BW19" s="4">
        <f t="shared" si="5"/>
        <v>46411984.196046151</v>
      </c>
      <c r="BX19" s="4">
        <f t="shared" si="5"/>
        <v>5682284.2708434761</v>
      </c>
      <c r="BY19" s="4">
        <f t="shared" si="5"/>
        <v>8529091.5517809298</v>
      </c>
      <c r="BZ19" s="4">
        <f t="shared" si="5"/>
        <v>25045195.333506845</v>
      </c>
    </row>
    <row r="20" spans="1:80" x14ac:dyDescent="0.2">
      <c r="B20" s="33"/>
      <c r="C20" s="33"/>
    </row>
    <row r="21" spans="1:80" s="32" customFormat="1" x14ac:dyDescent="0.2">
      <c r="A21" s="21"/>
      <c r="B21" s="21" t="s">
        <v>89</v>
      </c>
      <c r="C21" s="34">
        <f>C17*$C13</f>
        <v>1289606551.3855174</v>
      </c>
      <c r="D21" s="34">
        <f>D17*$C13</f>
        <v>193160293.1612564</v>
      </c>
      <c r="E21" s="34">
        <f t="shared" ref="E21:AH21" si="6">E17*$C13</f>
        <v>20871639.113750201</v>
      </c>
      <c r="F21" s="34">
        <f t="shared" si="6"/>
        <v>3226202.3351107379</v>
      </c>
      <c r="G21" s="34">
        <f t="shared" si="6"/>
        <v>2605486.1313970946</v>
      </c>
      <c r="H21" s="34">
        <f t="shared" si="6"/>
        <v>18840472.051783793</v>
      </c>
      <c r="I21" s="34">
        <f t="shared" si="6"/>
        <v>25609703.273051992</v>
      </c>
      <c r="J21" s="34">
        <f t="shared" si="6"/>
        <v>8527891.8886637669</v>
      </c>
      <c r="K21" s="34">
        <f t="shared" si="6"/>
        <v>2261471.8179967776</v>
      </c>
      <c r="L21" s="34">
        <f t="shared" si="6"/>
        <v>5142322.0468134275</v>
      </c>
      <c r="M21" s="34">
        <f t="shared" si="6"/>
        <v>2712314.7041736855</v>
      </c>
      <c r="N21" s="34">
        <f t="shared" si="6"/>
        <v>5786338.1727927681</v>
      </c>
      <c r="O21" s="34">
        <f t="shared" si="6"/>
        <v>20779220.605926313</v>
      </c>
      <c r="P21" s="34">
        <f t="shared" si="6"/>
        <v>16392139.960630482</v>
      </c>
      <c r="Q21" s="34">
        <f t="shared" si="6"/>
        <v>18232658.48957549</v>
      </c>
      <c r="R21" s="34">
        <f t="shared" si="6"/>
        <v>6800178.3485072814</v>
      </c>
      <c r="S21" s="34">
        <f t="shared" si="6"/>
        <v>10346688.194179446</v>
      </c>
      <c r="T21" s="34">
        <f t="shared" si="6"/>
        <v>20328039.81150746</v>
      </c>
      <c r="U21" s="34">
        <f t="shared" si="6"/>
        <v>11971186.933587825</v>
      </c>
      <c r="V21" s="34">
        <f t="shared" si="6"/>
        <v>18156774.188718159</v>
      </c>
      <c r="W21" s="34">
        <f t="shared" si="6"/>
        <v>16650482.070678309</v>
      </c>
      <c r="X21" s="34">
        <f t="shared" si="6"/>
        <v>25910674.496842995</v>
      </c>
      <c r="Y21" s="34">
        <f t="shared" si="6"/>
        <v>11846872.872996729</v>
      </c>
      <c r="Z21" s="34">
        <f t="shared" si="6"/>
        <v>4670901.363502969</v>
      </c>
      <c r="AA21" s="34">
        <f t="shared" si="6"/>
        <v>27883730.964954227</v>
      </c>
      <c r="AB21" s="34">
        <f t="shared" si="6"/>
        <v>3364593.2081301892</v>
      </c>
      <c r="AC21" s="34">
        <f t="shared" si="6"/>
        <v>19735874.115440119</v>
      </c>
      <c r="AD21" s="34">
        <f t="shared" si="6"/>
        <v>5215688.7740423866</v>
      </c>
      <c r="AE21" s="34">
        <f t="shared" si="6"/>
        <v>13209279.657732004</v>
      </c>
      <c r="AF21" s="34">
        <f t="shared" si="6"/>
        <v>7720758.7371823769</v>
      </c>
      <c r="AG21" s="34">
        <f t="shared" si="6"/>
        <v>16527185.739286985</v>
      </c>
      <c r="AH21" s="34">
        <f t="shared" si="6"/>
        <v>30422929.982725833</v>
      </c>
      <c r="AI21" s="34">
        <f t="shared" ref="AI21:BL21" si="7">AI17*$C13</f>
        <v>10727879.313679541</v>
      </c>
      <c r="AJ21" s="34">
        <f t="shared" si="7"/>
        <v>9877818.126432132</v>
      </c>
      <c r="AK21" s="34">
        <f t="shared" si="7"/>
        <v>13798679.213755369</v>
      </c>
      <c r="AL21" s="34">
        <f t="shared" si="7"/>
        <v>10353522.732976492</v>
      </c>
      <c r="AM21" s="34">
        <f t="shared" si="7"/>
        <v>17898000.712196708</v>
      </c>
      <c r="AN21" s="34">
        <f t="shared" si="7"/>
        <v>2826554.8352551982</v>
      </c>
      <c r="AO21" s="34">
        <f t="shared" si="7"/>
        <v>19012184.75692727</v>
      </c>
      <c r="AP21" s="34">
        <f t="shared" si="7"/>
        <v>10109164.90626391</v>
      </c>
      <c r="AQ21" s="34">
        <f t="shared" si="7"/>
        <v>13933211.970234625</v>
      </c>
      <c r="AR21" s="34">
        <f t="shared" si="7"/>
        <v>7184028.90083698</v>
      </c>
      <c r="AS21" s="34">
        <f t="shared" si="7"/>
        <v>5641883.9708479391</v>
      </c>
      <c r="AT21" s="34">
        <f t="shared" si="7"/>
        <v>5370925.8481053179</v>
      </c>
      <c r="AU21" s="34">
        <f t="shared" si="7"/>
        <v>7540087.6669514915</v>
      </c>
      <c r="AV21" s="34">
        <f t="shared" si="7"/>
        <v>6273491.5294472445</v>
      </c>
      <c r="AW21" s="34">
        <f t="shared" si="7"/>
        <v>11139311.11634472</v>
      </c>
      <c r="AX21" s="34">
        <f t="shared" si="7"/>
        <v>15078009.480527703</v>
      </c>
      <c r="AY21" s="34">
        <f t="shared" si="7"/>
        <v>14217542.201198423</v>
      </c>
      <c r="AZ21" s="34">
        <f t="shared" si="7"/>
        <v>10778051.744272152</v>
      </c>
      <c r="BA21" s="34">
        <f t="shared" si="7"/>
        <v>113554612.89195648</v>
      </c>
      <c r="BB21" s="34">
        <f t="shared" si="7"/>
        <v>25022455.35296325</v>
      </c>
      <c r="BC21" s="34">
        <f t="shared" si="7"/>
        <v>6275100.5772272199</v>
      </c>
      <c r="BD21" s="34">
        <f t="shared" si="7"/>
        <v>7092603.0453269742</v>
      </c>
      <c r="BE21" s="34">
        <f t="shared" si="7"/>
        <v>9458077.2069536988</v>
      </c>
      <c r="BF21" s="34">
        <f t="shared" si="7"/>
        <v>17060120.864842016</v>
      </c>
      <c r="BG21" s="34">
        <f t="shared" si="7"/>
        <v>4055208.2135955342</v>
      </c>
      <c r="BH21" s="34">
        <f>BH17*$C13</f>
        <v>10774522.611266285</v>
      </c>
      <c r="BI21" s="34">
        <f t="shared" si="7"/>
        <v>10272909.573509483</v>
      </c>
      <c r="BJ21" s="34">
        <f t="shared" si="7"/>
        <v>3028289.016889873</v>
      </c>
      <c r="BK21" s="34">
        <f t="shared" si="7"/>
        <v>5289180.7404133137</v>
      </c>
      <c r="BL21" s="34">
        <f t="shared" si="7"/>
        <v>19593685.666060284</v>
      </c>
      <c r="BM21" s="34">
        <f t="shared" ref="BM21:BZ21" si="8">BM17*$C13</f>
        <v>9106530.7558793258</v>
      </c>
      <c r="BN21" s="34">
        <f t="shared" si="8"/>
        <v>15681482.331438387</v>
      </c>
      <c r="BO21" s="34">
        <f t="shared" si="8"/>
        <v>27628971.121297467</v>
      </c>
      <c r="BP21" s="34">
        <f t="shared" si="8"/>
        <v>21227723.131489675</v>
      </c>
      <c r="BQ21" s="34">
        <f t="shared" si="8"/>
        <v>7358937.5739660179</v>
      </c>
      <c r="BR21" s="34">
        <f t="shared" si="8"/>
        <v>65747636.640443899</v>
      </c>
      <c r="BS21" s="34">
        <f t="shared" si="8"/>
        <v>17475849.413813811</v>
      </c>
      <c r="BT21" s="34">
        <f t="shared" si="8"/>
        <v>10225122.934787706</v>
      </c>
      <c r="BU21" s="34">
        <f t="shared" si="8"/>
        <v>3461187.3282587905</v>
      </c>
      <c r="BV21" s="34">
        <f t="shared" si="8"/>
        <v>7568020.5178967416</v>
      </c>
      <c r="BW21" s="34">
        <f t="shared" si="8"/>
        <v>45730423.458684534</v>
      </c>
      <c r="BX21" s="34">
        <f t="shared" si="8"/>
        <v>5503944.2441543676</v>
      </c>
      <c r="BY21" s="34">
        <f t="shared" si="8"/>
        <v>7990538.0142274937</v>
      </c>
      <c r="BZ21" s="34">
        <f t="shared" si="8"/>
        <v>26753075.918983631</v>
      </c>
      <c r="CA21" s="21"/>
      <c r="CB21" s="21"/>
    </row>
    <row r="22" spans="1:80" x14ac:dyDescent="0.2">
      <c r="B22" s="33"/>
      <c r="C22" s="33"/>
    </row>
    <row r="23" spans="1:80" x14ac:dyDescent="0.2">
      <c r="A23" s="35" t="s">
        <v>148</v>
      </c>
      <c r="B23" s="26" t="s">
        <v>0</v>
      </c>
      <c r="C23" s="2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</row>
    <row r="24" spans="1:80" x14ac:dyDescent="0.2">
      <c r="B24" s="30" t="s">
        <v>81</v>
      </c>
      <c r="C24" s="36">
        <f>SUM(D24:BZ24)</f>
        <v>65715613.349999979</v>
      </c>
      <c r="D24" s="9">
        <v>13937547.25</v>
      </c>
      <c r="E24" s="9">
        <v>643301.94999999995</v>
      </c>
      <c r="F24" s="9">
        <v>93643.15</v>
      </c>
      <c r="G24" s="9">
        <v>59070.55</v>
      </c>
      <c r="H24" s="9">
        <v>63580.30000000001</v>
      </c>
      <c r="I24" s="9">
        <v>762755.1</v>
      </c>
      <c r="J24" s="9">
        <v>692093.8</v>
      </c>
      <c r="K24" s="9">
        <v>42748.6</v>
      </c>
      <c r="L24" s="9">
        <v>62744.149999999994</v>
      </c>
      <c r="M24" s="9">
        <v>23902.149999999998</v>
      </c>
      <c r="N24" s="9">
        <v>39667.65</v>
      </c>
      <c r="O24" s="9">
        <v>532118.80000000005</v>
      </c>
      <c r="P24" s="9">
        <v>2178045.7000000002</v>
      </c>
      <c r="Q24" s="9">
        <v>1520554.5</v>
      </c>
      <c r="R24" s="9">
        <v>456217.59999999998</v>
      </c>
      <c r="S24" s="9">
        <v>2243757.2000000002</v>
      </c>
      <c r="T24" s="9">
        <v>2546821.6500000004</v>
      </c>
      <c r="U24" s="9">
        <v>591954.35</v>
      </c>
      <c r="V24" s="9">
        <v>2519081.2500000005</v>
      </c>
      <c r="W24" s="9">
        <v>2029689.4499999997</v>
      </c>
      <c r="X24" s="9">
        <v>2411906.5499999998</v>
      </c>
      <c r="Y24" s="9">
        <v>720021.2</v>
      </c>
      <c r="Z24" s="9">
        <v>223839.85</v>
      </c>
      <c r="AA24" s="9">
        <v>2391520.1500000004</v>
      </c>
      <c r="AB24" s="9">
        <v>99751.2</v>
      </c>
      <c r="AC24" s="9">
        <v>1622895.65</v>
      </c>
      <c r="AD24" s="9">
        <v>481506.94999999995</v>
      </c>
      <c r="AE24" s="9">
        <v>2056213.5499999998</v>
      </c>
      <c r="AF24" s="9">
        <v>334655.14999999997</v>
      </c>
      <c r="AG24" s="9">
        <v>1263092.9000000001</v>
      </c>
      <c r="AH24" s="9">
        <v>2766392.6</v>
      </c>
      <c r="AI24" s="9">
        <v>824134.8</v>
      </c>
      <c r="AJ24" s="9">
        <v>687881.99999999988</v>
      </c>
      <c r="AK24" s="9">
        <v>670722.80000000005</v>
      </c>
      <c r="AL24" s="9">
        <v>313890.65000000002</v>
      </c>
      <c r="AM24" s="9">
        <v>867056.29999999993</v>
      </c>
      <c r="AN24" s="9">
        <v>249661.8</v>
      </c>
      <c r="AO24" s="9">
        <v>388724.89999999991</v>
      </c>
      <c r="AP24" s="9">
        <v>374920.5</v>
      </c>
      <c r="AQ24" s="9">
        <v>489650.5</v>
      </c>
      <c r="AR24" s="9">
        <v>245070.15000000002</v>
      </c>
      <c r="AS24" s="9">
        <v>69514.399999999994</v>
      </c>
      <c r="AT24" s="9">
        <v>110626.6</v>
      </c>
      <c r="AU24" s="9">
        <v>208576.9</v>
      </c>
      <c r="AV24" s="9">
        <v>248896.45</v>
      </c>
      <c r="AW24" s="9">
        <v>226361.05</v>
      </c>
      <c r="AX24" s="9">
        <v>252852.25</v>
      </c>
      <c r="AY24" s="9">
        <v>551215.30000000005</v>
      </c>
      <c r="AZ24" s="9">
        <v>272369.44999999995</v>
      </c>
      <c r="BA24" s="9">
        <v>2962381.55</v>
      </c>
      <c r="BB24" s="9">
        <v>555526.15</v>
      </c>
      <c r="BC24" s="9">
        <v>221243.05000000002</v>
      </c>
      <c r="BD24" s="9">
        <v>106871.7</v>
      </c>
      <c r="BE24" s="9">
        <v>162188.44999999995</v>
      </c>
      <c r="BF24" s="9">
        <v>469414.8</v>
      </c>
      <c r="BG24" s="9">
        <v>120045.29999999999</v>
      </c>
      <c r="BH24" s="9">
        <v>199081.8</v>
      </c>
      <c r="BI24" s="9">
        <v>286478.60000000003</v>
      </c>
      <c r="BJ24" s="9">
        <v>96678.25</v>
      </c>
      <c r="BK24" s="9">
        <v>60430.950000000004</v>
      </c>
      <c r="BL24" s="9">
        <v>1131740.45</v>
      </c>
      <c r="BM24" s="9">
        <v>259901.55000000002</v>
      </c>
      <c r="BN24" s="9">
        <v>417515.24999999994</v>
      </c>
      <c r="BO24" s="9">
        <v>1120245.4999999998</v>
      </c>
      <c r="BP24" s="9">
        <v>655134.55000000005</v>
      </c>
      <c r="BQ24" s="9">
        <v>250261.34999999995</v>
      </c>
      <c r="BR24" s="9">
        <v>1915352.15</v>
      </c>
      <c r="BS24" s="9">
        <v>200700.24999999997</v>
      </c>
      <c r="BT24" s="9">
        <v>301173.05000000005</v>
      </c>
      <c r="BU24" s="9">
        <v>76088.600000000006</v>
      </c>
      <c r="BV24" s="9">
        <v>81201.149999999994</v>
      </c>
      <c r="BW24" s="9">
        <v>1116095.8499999999</v>
      </c>
      <c r="BX24" s="9">
        <v>53016.45</v>
      </c>
      <c r="BY24" s="9">
        <v>158216.25</v>
      </c>
      <c r="BZ24" s="9">
        <v>275412.64999999997</v>
      </c>
      <c r="CB24" s="3" t="s">
        <v>107</v>
      </c>
    </row>
    <row r="25" spans="1:80" x14ac:dyDescent="0.2">
      <c r="B25" s="30" t="s">
        <v>86</v>
      </c>
      <c r="C25" s="36">
        <f>SUM(D25:BZ25)</f>
        <v>518564.5199999999</v>
      </c>
      <c r="D25" s="9">
        <v>111921.28</v>
      </c>
      <c r="E25" s="9">
        <v>-2468.35</v>
      </c>
      <c r="F25" s="9">
        <v>27.25</v>
      </c>
      <c r="G25" s="9">
        <v>19.95</v>
      </c>
      <c r="H25" s="9">
        <v>62.4</v>
      </c>
      <c r="I25" s="9">
        <v>9160.4</v>
      </c>
      <c r="J25" s="9">
        <v>6420.2</v>
      </c>
      <c r="K25" s="9">
        <v>110.15</v>
      </c>
      <c r="L25" s="9">
        <v>25.45</v>
      </c>
      <c r="M25" s="9">
        <v>13.600000000000001</v>
      </c>
      <c r="N25" s="9">
        <v>27.15</v>
      </c>
      <c r="O25" s="9">
        <v>11373.7</v>
      </c>
      <c r="P25" s="9">
        <v>112287.75</v>
      </c>
      <c r="Q25" s="9">
        <v>-35942.5</v>
      </c>
      <c r="R25" s="9">
        <v>889.1</v>
      </c>
      <c r="S25" s="9">
        <v>10350.65</v>
      </c>
      <c r="T25" s="9">
        <v>17315.099999999999</v>
      </c>
      <c r="U25" s="9">
        <v>4769.5</v>
      </c>
      <c r="V25" s="9">
        <v>2517.75</v>
      </c>
      <c r="W25" s="9">
        <v>4009.9</v>
      </c>
      <c r="X25" s="9">
        <v>10156.59</v>
      </c>
      <c r="Y25" s="9">
        <v>8721.6</v>
      </c>
      <c r="Z25" s="9">
        <v>387.70000000000005</v>
      </c>
      <c r="AA25" s="9">
        <v>12219.95</v>
      </c>
      <c r="AB25" s="9">
        <v>13.5</v>
      </c>
      <c r="AC25" s="9">
        <v>5176.8500000000004</v>
      </c>
      <c r="AD25" s="9">
        <v>1761.8999999999999</v>
      </c>
      <c r="AE25" s="9">
        <v>10311.1</v>
      </c>
      <c r="AF25" s="9">
        <v>5267.4</v>
      </c>
      <c r="AG25" s="9">
        <v>146</v>
      </c>
      <c r="AH25" s="9">
        <v>13769.3</v>
      </c>
      <c r="AI25" s="9">
        <v>3197.9</v>
      </c>
      <c r="AJ25" s="9">
        <v>2610</v>
      </c>
      <c r="AK25" s="9">
        <v>7683.75</v>
      </c>
      <c r="AL25" s="9">
        <v>3853.75</v>
      </c>
      <c r="AM25" s="9">
        <v>309.39999999999998</v>
      </c>
      <c r="AN25" s="9">
        <v>2385.1999999999998</v>
      </c>
      <c r="AO25" s="9">
        <v>9241.4</v>
      </c>
      <c r="AP25" s="9">
        <v>2619.25</v>
      </c>
      <c r="AQ25" s="9">
        <v>3407.3</v>
      </c>
      <c r="AR25" s="9">
        <v>137.94999999999999</v>
      </c>
      <c r="AS25" s="9">
        <v>24.85</v>
      </c>
      <c r="AT25" s="9">
        <v>19.05</v>
      </c>
      <c r="AU25" s="9">
        <v>34219.899999999994</v>
      </c>
      <c r="AV25" s="9">
        <v>6907.55</v>
      </c>
      <c r="AW25" s="9">
        <v>4245.05</v>
      </c>
      <c r="AX25" s="9">
        <v>4281.8500000000004</v>
      </c>
      <c r="AY25" s="9">
        <v>9712.6500000000015</v>
      </c>
      <c r="AZ25" s="9">
        <v>2262.9499999999998</v>
      </c>
      <c r="BA25" s="9">
        <v>4689.3</v>
      </c>
      <c r="BB25" s="9">
        <v>367</v>
      </c>
      <c r="BC25" s="9">
        <v>6436.1</v>
      </c>
      <c r="BD25" s="9">
        <v>35.6</v>
      </c>
      <c r="BE25" s="9">
        <v>72.55</v>
      </c>
      <c r="BF25" s="9">
        <v>11968.15</v>
      </c>
      <c r="BG25" s="9">
        <v>25.95</v>
      </c>
      <c r="BH25" s="9">
        <v>4347.0999999999995</v>
      </c>
      <c r="BI25" s="9">
        <v>2460.1999999999998</v>
      </c>
      <c r="BJ25" s="9">
        <v>302.14999999999998</v>
      </c>
      <c r="BK25" s="9">
        <v>621.70000000000005</v>
      </c>
      <c r="BL25" s="9">
        <v>1670.65</v>
      </c>
      <c r="BM25" s="9">
        <v>3849.35</v>
      </c>
      <c r="BN25" s="9">
        <v>6520</v>
      </c>
      <c r="BO25" s="9">
        <v>15521.6</v>
      </c>
      <c r="BP25" s="9">
        <v>7945.45</v>
      </c>
      <c r="BQ25" s="9">
        <v>56.35</v>
      </c>
      <c r="BR25" s="9">
        <v>22010</v>
      </c>
      <c r="BS25" s="9">
        <v>1672.6</v>
      </c>
      <c r="BT25" s="9">
        <v>1712.05</v>
      </c>
      <c r="BU25" s="9">
        <v>25.55</v>
      </c>
      <c r="BV25" s="9">
        <v>223.75</v>
      </c>
      <c r="BW25" s="9">
        <v>7352.95</v>
      </c>
      <c r="BX25" s="9">
        <v>19.2</v>
      </c>
      <c r="BY25" s="9">
        <v>226.05</v>
      </c>
      <c r="BZ25" s="9">
        <v>491.1</v>
      </c>
      <c r="CB25" s="3" t="s">
        <v>107</v>
      </c>
    </row>
    <row r="26" spans="1:80" s="32" customFormat="1" x14ac:dyDescent="0.2">
      <c r="A26" s="21"/>
      <c r="B26" s="32" t="s">
        <v>90</v>
      </c>
      <c r="C26" s="15">
        <f>SUM(D26:BZ26)</f>
        <v>65197048.829999983</v>
      </c>
      <c r="D26" s="34">
        <f>D24-D25</f>
        <v>13825625.970000001</v>
      </c>
      <c r="E26" s="34">
        <f t="shared" ref="E26:BN26" si="9">E24-E25</f>
        <v>645770.29999999993</v>
      </c>
      <c r="F26" s="34">
        <f t="shared" si="9"/>
        <v>93615.9</v>
      </c>
      <c r="G26" s="34">
        <f t="shared" si="9"/>
        <v>59050.600000000006</v>
      </c>
      <c r="H26" s="34">
        <f t="shared" si="9"/>
        <v>63517.900000000009</v>
      </c>
      <c r="I26" s="34">
        <f t="shared" si="9"/>
        <v>753594.7</v>
      </c>
      <c r="J26" s="34">
        <f t="shared" si="9"/>
        <v>685673.60000000009</v>
      </c>
      <c r="K26" s="34">
        <f t="shared" si="9"/>
        <v>42638.45</v>
      </c>
      <c r="L26" s="34">
        <f t="shared" si="9"/>
        <v>62718.7</v>
      </c>
      <c r="M26" s="34">
        <f t="shared" si="9"/>
        <v>23888.55</v>
      </c>
      <c r="N26" s="34">
        <f t="shared" si="9"/>
        <v>39640.5</v>
      </c>
      <c r="O26" s="34">
        <f t="shared" si="9"/>
        <v>520745.10000000003</v>
      </c>
      <c r="P26" s="34">
        <f t="shared" si="9"/>
        <v>2065757.9500000002</v>
      </c>
      <c r="Q26" s="34">
        <f t="shared" si="9"/>
        <v>1556497</v>
      </c>
      <c r="R26" s="34">
        <f t="shared" si="9"/>
        <v>455328.5</v>
      </c>
      <c r="S26" s="34">
        <f t="shared" si="9"/>
        <v>2233406.5500000003</v>
      </c>
      <c r="T26" s="34">
        <f t="shared" si="9"/>
        <v>2529506.5500000003</v>
      </c>
      <c r="U26" s="34">
        <f t="shared" si="9"/>
        <v>587184.85</v>
      </c>
      <c r="V26" s="34">
        <f t="shared" si="9"/>
        <v>2516563.5000000005</v>
      </c>
      <c r="W26" s="34">
        <f t="shared" si="9"/>
        <v>2025679.5499999998</v>
      </c>
      <c r="X26" s="34">
        <f t="shared" si="9"/>
        <v>2401749.96</v>
      </c>
      <c r="Y26" s="34">
        <f t="shared" si="9"/>
        <v>711299.6</v>
      </c>
      <c r="Z26" s="34">
        <f t="shared" si="9"/>
        <v>223452.15</v>
      </c>
      <c r="AA26" s="34">
        <f t="shared" si="9"/>
        <v>2379300.2000000002</v>
      </c>
      <c r="AB26" s="34">
        <f t="shared" si="9"/>
        <v>99737.7</v>
      </c>
      <c r="AC26" s="34">
        <f t="shared" si="9"/>
        <v>1617718.7999999998</v>
      </c>
      <c r="AD26" s="34">
        <f t="shared" si="9"/>
        <v>479745.04999999993</v>
      </c>
      <c r="AE26" s="34">
        <f t="shared" si="9"/>
        <v>2045902.4499999997</v>
      </c>
      <c r="AF26" s="34">
        <f t="shared" si="9"/>
        <v>329387.74999999994</v>
      </c>
      <c r="AG26" s="34">
        <f t="shared" si="9"/>
        <v>1262946.9000000001</v>
      </c>
      <c r="AH26" s="34">
        <f t="shared" si="9"/>
        <v>2752623.3000000003</v>
      </c>
      <c r="AI26" s="34">
        <f t="shared" si="9"/>
        <v>820936.9</v>
      </c>
      <c r="AJ26" s="34">
        <f t="shared" si="9"/>
        <v>685271.99999999988</v>
      </c>
      <c r="AK26" s="34">
        <f t="shared" si="9"/>
        <v>663039.05000000005</v>
      </c>
      <c r="AL26" s="34">
        <f t="shared" si="9"/>
        <v>310036.90000000002</v>
      </c>
      <c r="AM26" s="34">
        <f t="shared" si="9"/>
        <v>866746.89999999991</v>
      </c>
      <c r="AN26" s="34">
        <f t="shared" si="9"/>
        <v>247276.59999999998</v>
      </c>
      <c r="AO26" s="34">
        <f t="shared" si="9"/>
        <v>379483.49999999988</v>
      </c>
      <c r="AP26" s="34">
        <f t="shared" si="9"/>
        <v>372301.25</v>
      </c>
      <c r="AQ26" s="34">
        <f t="shared" si="9"/>
        <v>486243.2</v>
      </c>
      <c r="AR26" s="34">
        <f t="shared" si="9"/>
        <v>244932.2</v>
      </c>
      <c r="AS26" s="34">
        <f t="shared" si="9"/>
        <v>69489.549999999988</v>
      </c>
      <c r="AT26" s="34">
        <f t="shared" si="9"/>
        <v>110607.55</v>
      </c>
      <c r="AU26" s="34">
        <f t="shared" si="9"/>
        <v>174357</v>
      </c>
      <c r="AV26" s="34">
        <f t="shared" si="9"/>
        <v>241988.90000000002</v>
      </c>
      <c r="AW26" s="34">
        <f t="shared" si="9"/>
        <v>222116</v>
      </c>
      <c r="AX26" s="34">
        <f t="shared" si="9"/>
        <v>248570.4</v>
      </c>
      <c r="AY26" s="34">
        <f t="shared" si="9"/>
        <v>541502.65</v>
      </c>
      <c r="AZ26" s="34">
        <f t="shared" si="9"/>
        <v>270106.49999999994</v>
      </c>
      <c r="BA26" s="34">
        <f t="shared" si="9"/>
        <v>2957692.25</v>
      </c>
      <c r="BB26" s="34">
        <f t="shared" si="9"/>
        <v>555159.15</v>
      </c>
      <c r="BC26" s="34">
        <f t="shared" si="9"/>
        <v>214806.95</v>
      </c>
      <c r="BD26" s="34">
        <f t="shared" si="9"/>
        <v>106836.09999999999</v>
      </c>
      <c r="BE26" s="34">
        <f t="shared" si="9"/>
        <v>162115.89999999997</v>
      </c>
      <c r="BF26" s="34">
        <f t="shared" si="9"/>
        <v>457446.64999999997</v>
      </c>
      <c r="BG26" s="34">
        <f t="shared" si="9"/>
        <v>120019.34999999999</v>
      </c>
      <c r="BH26" s="34">
        <f t="shared" si="9"/>
        <v>194734.69999999998</v>
      </c>
      <c r="BI26" s="34">
        <f t="shared" si="9"/>
        <v>284018.40000000002</v>
      </c>
      <c r="BJ26" s="34">
        <f t="shared" si="9"/>
        <v>96376.1</v>
      </c>
      <c r="BK26" s="34">
        <f t="shared" si="9"/>
        <v>59809.250000000007</v>
      </c>
      <c r="BL26" s="34">
        <f t="shared" si="9"/>
        <v>1130069.8</v>
      </c>
      <c r="BM26" s="34">
        <f t="shared" si="9"/>
        <v>256052.2</v>
      </c>
      <c r="BN26" s="34">
        <f t="shared" si="9"/>
        <v>410995.24999999994</v>
      </c>
      <c r="BO26" s="34">
        <f t="shared" ref="BO26:BZ26" si="10">BO24-BO25</f>
        <v>1104723.8999999997</v>
      </c>
      <c r="BP26" s="34">
        <f t="shared" si="10"/>
        <v>647189.10000000009</v>
      </c>
      <c r="BQ26" s="34">
        <f t="shared" si="10"/>
        <v>250204.99999999994</v>
      </c>
      <c r="BR26" s="34">
        <f t="shared" si="10"/>
        <v>1893342.15</v>
      </c>
      <c r="BS26" s="34">
        <f t="shared" si="10"/>
        <v>199027.64999999997</v>
      </c>
      <c r="BT26" s="34">
        <f t="shared" si="10"/>
        <v>299461.00000000006</v>
      </c>
      <c r="BU26" s="34">
        <f t="shared" si="10"/>
        <v>76063.05</v>
      </c>
      <c r="BV26" s="34">
        <f t="shared" si="10"/>
        <v>80977.399999999994</v>
      </c>
      <c r="BW26" s="34">
        <f t="shared" si="10"/>
        <v>1108742.8999999999</v>
      </c>
      <c r="BX26" s="34">
        <f t="shared" si="10"/>
        <v>52997.25</v>
      </c>
      <c r="BY26" s="34">
        <f t="shared" si="10"/>
        <v>157990.20000000001</v>
      </c>
      <c r="BZ26" s="34">
        <f t="shared" si="10"/>
        <v>274921.55</v>
      </c>
      <c r="CA26" s="21"/>
      <c r="CB26" s="21"/>
    </row>
    <row r="27" spans="1:80" x14ac:dyDescent="0.2">
      <c r="B27" s="30"/>
      <c r="C27" s="36"/>
    </row>
    <row r="28" spans="1:80" x14ac:dyDescent="0.2">
      <c r="A28" s="35" t="s">
        <v>149</v>
      </c>
      <c r="B28" s="26" t="s">
        <v>1</v>
      </c>
      <c r="C28" s="37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</row>
    <row r="29" spans="1:80" x14ac:dyDescent="0.2">
      <c r="B29" s="30" t="s">
        <v>81</v>
      </c>
      <c r="C29" s="36">
        <f>SUM(D29:BZ29)</f>
        <v>159039026.70000002</v>
      </c>
      <c r="D29" s="9">
        <v>36909524.450000003</v>
      </c>
      <c r="E29" s="9">
        <v>1623618.3</v>
      </c>
      <c r="F29" s="9">
        <v>143054.85</v>
      </c>
      <c r="G29" s="9">
        <v>80827.100000000006</v>
      </c>
      <c r="H29" s="9">
        <v>568990.4</v>
      </c>
      <c r="I29" s="9">
        <v>4385280.8</v>
      </c>
      <c r="J29" s="9">
        <v>2125494.15</v>
      </c>
      <c r="K29" s="9">
        <v>45096.800000000003</v>
      </c>
      <c r="L29" s="9">
        <v>436967.5</v>
      </c>
      <c r="M29" s="9">
        <v>57831.55</v>
      </c>
      <c r="N29" s="9">
        <v>79159.75</v>
      </c>
      <c r="O29" s="9">
        <v>494307.55</v>
      </c>
      <c r="P29" s="9">
        <v>3797023.5</v>
      </c>
      <c r="Q29" s="9">
        <v>3613602.75</v>
      </c>
      <c r="R29" s="9">
        <v>710941.1</v>
      </c>
      <c r="S29" s="9">
        <v>2123150.35</v>
      </c>
      <c r="T29" s="9">
        <v>2858176.9</v>
      </c>
      <c r="U29" s="9">
        <v>822310.05</v>
      </c>
      <c r="V29" s="9">
        <v>5519849.75</v>
      </c>
      <c r="W29" s="9">
        <v>1728085.65</v>
      </c>
      <c r="X29" s="9">
        <v>4791450.45</v>
      </c>
      <c r="Y29" s="9">
        <v>1713147.05</v>
      </c>
      <c r="Z29" s="9">
        <v>207259.25</v>
      </c>
      <c r="AA29" s="9">
        <v>3500872.85</v>
      </c>
      <c r="AB29" s="9">
        <v>77660.600000000006</v>
      </c>
      <c r="AC29" s="9">
        <v>2069400.8</v>
      </c>
      <c r="AD29" s="9">
        <v>499633.5</v>
      </c>
      <c r="AE29" s="9">
        <v>4987038.6500000004</v>
      </c>
      <c r="AF29" s="9">
        <v>364275.1</v>
      </c>
      <c r="AG29" s="9">
        <v>945118.4</v>
      </c>
      <c r="AH29" s="9">
        <v>856685</v>
      </c>
      <c r="AI29" s="9">
        <v>749420.4</v>
      </c>
      <c r="AJ29" s="9">
        <v>705956.55</v>
      </c>
      <c r="AK29" s="9">
        <v>1224579.25</v>
      </c>
      <c r="AL29" s="9">
        <v>677385.6</v>
      </c>
      <c r="AM29" s="9">
        <v>1047668.7</v>
      </c>
      <c r="AN29" s="9">
        <v>84733.6</v>
      </c>
      <c r="AO29" s="9">
        <v>1751424.3</v>
      </c>
      <c r="AP29" s="9">
        <v>741302</v>
      </c>
      <c r="AQ29" s="9">
        <v>589655</v>
      </c>
      <c r="AR29" s="9">
        <v>293715</v>
      </c>
      <c r="AS29" s="9">
        <v>71124.7</v>
      </c>
      <c r="AT29" s="9">
        <v>5736.9</v>
      </c>
      <c r="AU29" s="9">
        <v>386957.25</v>
      </c>
      <c r="AV29" s="9">
        <v>374700.75</v>
      </c>
      <c r="AW29" s="9">
        <v>652124.55000000005</v>
      </c>
      <c r="AX29" s="9">
        <v>510666.75</v>
      </c>
      <c r="AY29" s="9">
        <v>1869039.55</v>
      </c>
      <c r="AZ29" s="9">
        <v>792935.9</v>
      </c>
      <c r="BA29" s="9">
        <v>22760460.75</v>
      </c>
      <c r="BB29" s="9">
        <v>1537121.35</v>
      </c>
      <c r="BC29" s="9">
        <v>330774.25</v>
      </c>
      <c r="BD29" s="9">
        <v>376035.2</v>
      </c>
      <c r="BE29" s="9">
        <v>1350466.75</v>
      </c>
      <c r="BF29" s="9">
        <v>1336556</v>
      </c>
      <c r="BG29" s="9">
        <v>226384.45</v>
      </c>
      <c r="BH29" s="9">
        <v>339332.69999999995</v>
      </c>
      <c r="BI29" s="9">
        <v>1015496.95</v>
      </c>
      <c r="BJ29" s="9">
        <v>227608.6</v>
      </c>
      <c r="BK29" s="9">
        <v>196589.9</v>
      </c>
      <c r="BL29" s="9">
        <v>2008684.15</v>
      </c>
      <c r="BM29" s="9">
        <v>1034179.15</v>
      </c>
      <c r="BN29" s="9">
        <v>715948.95</v>
      </c>
      <c r="BO29" s="9">
        <v>2171899.5</v>
      </c>
      <c r="BP29" s="9">
        <v>1905959.7</v>
      </c>
      <c r="BQ29" s="9">
        <v>1534785.8</v>
      </c>
      <c r="BR29" s="9">
        <v>9497287.5</v>
      </c>
      <c r="BS29" s="9">
        <v>1145775.3500000001</v>
      </c>
      <c r="BT29" s="9">
        <v>1585728.4</v>
      </c>
      <c r="BU29" s="9">
        <v>116003.75</v>
      </c>
      <c r="BV29" s="9">
        <v>175974.6</v>
      </c>
      <c r="BW29" s="9">
        <v>4921511.3</v>
      </c>
      <c r="BX29" s="9">
        <v>314143.3</v>
      </c>
      <c r="BY29" s="9">
        <v>718599.85</v>
      </c>
      <c r="BZ29" s="9">
        <v>830756.85</v>
      </c>
      <c r="CB29" s="3" t="s">
        <v>107</v>
      </c>
    </row>
    <row r="30" spans="1:80" x14ac:dyDescent="0.2">
      <c r="B30" s="30" t="s">
        <v>86</v>
      </c>
      <c r="C30" s="36">
        <f>SUM(D30:BZ30)</f>
        <v>2536648.6499999985</v>
      </c>
      <c r="D30" s="9">
        <v>1080694</v>
      </c>
      <c r="E30" s="9">
        <v>14751.499999999998</v>
      </c>
      <c r="F30" s="9">
        <v>7.95</v>
      </c>
      <c r="G30" s="9">
        <v>10087.150000000001</v>
      </c>
      <c r="H30" s="9">
        <v>5390.75</v>
      </c>
      <c r="I30" s="9">
        <v>116537.05</v>
      </c>
      <c r="J30" s="9">
        <v>23318.400000000001</v>
      </c>
      <c r="K30" s="9">
        <v>33.549999999999997</v>
      </c>
      <c r="L30" s="9">
        <v>2668.7000000000003</v>
      </c>
      <c r="M30" s="9">
        <v>169.4</v>
      </c>
      <c r="N30" s="9">
        <v>15.7</v>
      </c>
      <c r="O30" s="9">
        <v>24698.75</v>
      </c>
      <c r="P30" s="9">
        <v>97555.700000000012</v>
      </c>
      <c r="Q30" s="9">
        <v>147421.5</v>
      </c>
      <c r="R30" s="9">
        <v>5438.6</v>
      </c>
      <c r="S30" s="9">
        <v>158969.15</v>
      </c>
      <c r="T30" s="9">
        <v>56897.8</v>
      </c>
      <c r="U30" s="9">
        <v>1158.1999999999998</v>
      </c>
      <c r="V30" s="9">
        <v>1042</v>
      </c>
      <c r="W30" s="9">
        <v>6196.75</v>
      </c>
      <c r="X30" s="9">
        <v>8589.85</v>
      </c>
      <c r="Y30" s="9">
        <v>1135.8000000000002</v>
      </c>
      <c r="Z30" s="9">
        <v>603.54999999999995</v>
      </c>
      <c r="AA30" s="9">
        <v>12316.8</v>
      </c>
      <c r="AB30" s="9">
        <v>333.25</v>
      </c>
      <c r="AC30" s="9">
        <v>40290.6</v>
      </c>
      <c r="AD30" s="9">
        <v>3749.25</v>
      </c>
      <c r="AE30" s="9">
        <v>7948.55</v>
      </c>
      <c r="AF30" s="9">
        <v>737.2</v>
      </c>
      <c r="AG30" s="9">
        <v>9608.0999999999985</v>
      </c>
      <c r="AH30" s="9">
        <v>220999.89999999997</v>
      </c>
      <c r="AI30" s="9">
        <v>181862.35</v>
      </c>
      <c r="AJ30" s="9">
        <v>3172.5</v>
      </c>
      <c r="AK30" s="9">
        <v>2873.1</v>
      </c>
      <c r="AL30" s="9">
        <v>424.4</v>
      </c>
      <c r="AM30" s="9">
        <v>3483.05</v>
      </c>
      <c r="AN30" s="9">
        <v>23.75</v>
      </c>
      <c r="AO30" s="9">
        <v>17222.3</v>
      </c>
      <c r="AP30" s="9">
        <v>2136.85</v>
      </c>
      <c r="AQ30" s="9">
        <v>591.04999999999995</v>
      </c>
      <c r="AR30" s="9">
        <v>2284.1999999999998</v>
      </c>
      <c r="AS30" s="9">
        <v>649.15</v>
      </c>
      <c r="AT30" s="9">
        <v>-5025.5</v>
      </c>
      <c r="AU30" s="9">
        <v>10536.15</v>
      </c>
      <c r="AV30" s="9">
        <v>13243.45</v>
      </c>
      <c r="AW30" s="9">
        <v>1540</v>
      </c>
      <c r="AX30" s="9">
        <v>4291.1000000000004</v>
      </c>
      <c r="AY30" s="9">
        <v>20108</v>
      </c>
      <c r="AZ30" s="9">
        <v>188.95</v>
      </c>
      <c r="BA30" s="9">
        <v>17950.649999999998</v>
      </c>
      <c r="BB30" s="9">
        <v>844.05000000000007</v>
      </c>
      <c r="BC30" s="9">
        <v>4042.1</v>
      </c>
      <c r="BD30" s="9">
        <v>125.25</v>
      </c>
      <c r="BE30" s="9">
        <v>1033.0999999999999</v>
      </c>
      <c r="BF30" s="9">
        <v>3806.3500000000004</v>
      </c>
      <c r="BG30" s="9">
        <v>41.2</v>
      </c>
      <c r="BH30" s="9">
        <v>7685.55</v>
      </c>
      <c r="BI30" s="9">
        <v>258.95</v>
      </c>
      <c r="BJ30" s="9">
        <v>366.75</v>
      </c>
      <c r="BK30" s="9">
        <v>22.55</v>
      </c>
      <c r="BL30" s="9">
        <v>46160.05</v>
      </c>
      <c r="BM30" s="9">
        <v>3301.55</v>
      </c>
      <c r="BN30" s="9">
        <v>19791.650000000001</v>
      </c>
      <c r="BO30" s="9">
        <v>20143.55</v>
      </c>
      <c r="BP30" s="9">
        <v>2556.3000000000002</v>
      </c>
      <c r="BQ30" s="9">
        <v>71.5</v>
      </c>
      <c r="BR30" s="9">
        <v>50818.55</v>
      </c>
      <c r="BS30" s="9">
        <v>1177.3</v>
      </c>
      <c r="BT30" s="9">
        <v>1377.95</v>
      </c>
      <c r="BU30" s="9">
        <v>31.65</v>
      </c>
      <c r="BV30" s="9">
        <v>3783.15</v>
      </c>
      <c r="BW30" s="9">
        <v>20798.25</v>
      </c>
      <c r="BX30" s="9">
        <v>494.8</v>
      </c>
      <c r="BY30" s="9">
        <v>1359.5</v>
      </c>
      <c r="BZ30" s="9">
        <v>9636.0999999999985</v>
      </c>
      <c r="CB30" s="3" t="s">
        <v>107</v>
      </c>
    </row>
    <row r="31" spans="1:80" x14ac:dyDescent="0.2">
      <c r="A31" s="38"/>
      <c r="B31" s="30" t="s">
        <v>87</v>
      </c>
      <c r="C31" s="36">
        <f>SUM(D31:BZ31)</f>
        <v>491849.59999999992</v>
      </c>
      <c r="D31" s="9">
        <v>70890.850000000006</v>
      </c>
      <c r="E31" s="9">
        <v>383.25</v>
      </c>
      <c r="F31" s="9">
        <v>0</v>
      </c>
      <c r="G31" s="9">
        <v>0</v>
      </c>
      <c r="H31" s="9">
        <v>0</v>
      </c>
      <c r="I31" s="9">
        <v>0</v>
      </c>
      <c r="J31" s="9">
        <v>11371.05</v>
      </c>
      <c r="K31" s="9">
        <v>0</v>
      </c>
      <c r="L31" s="9">
        <v>411.65</v>
      </c>
      <c r="M31" s="9">
        <v>0</v>
      </c>
      <c r="N31" s="9">
        <v>302.7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215203.8</v>
      </c>
      <c r="U31" s="9">
        <v>1143.25</v>
      </c>
      <c r="V31" s="9">
        <v>134188.9</v>
      </c>
      <c r="W31" s="9">
        <v>201.5</v>
      </c>
      <c r="X31" s="9">
        <v>0</v>
      </c>
      <c r="Y31" s="9">
        <v>0</v>
      </c>
      <c r="Z31" s="9">
        <v>0</v>
      </c>
      <c r="AA31" s="9">
        <v>607.75</v>
      </c>
      <c r="AB31" s="9">
        <v>0</v>
      </c>
      <c r="AC31" s="9">
        <v>587.35</v>
      </c>
      <c r="AD31" s="9">
        <v>0</v>
      </c>
      <c r="AE31" s="9">
        <v>34293.199999999997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4741.3500000000004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1940.5</v>
      </c>
      <c r="BB31" s="9">
        <v>0</v>
      </c>
      <c r="BC31" s="9">
        <v>0</v>
      </c>
      <c r="BD31" s="9">
        <v>0</v>
      </c>
      <c r="BE31" s="9">
        <v>0</v>
      </c>
      <c r="BF31" s="9">
        <v>4049.75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10621.25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9">
        <v>834.3</v>
      </c>
      <c r="BX31" s="9">
        <v>0</v>
      </c>
      <c r="BY31" s="9">
        <v>0</v>
      </c>
      <c r="BZ31" s="9">
        <v>77.2</v>
      </c>
      <c r="CA31" s="38"/>
      <c r="CB31" s="3" t="s">
        <v>107</v>
      </c>
    </row>
    <row r="32" spans="1:80" s="32" customFormat="1" x14ac:dyDescent="0.2">
      <c r="A32" s="21"/>
      <c r="B32" s="32" t="s">
        <v>90</v>
      </c>
      <c r="C32" s="15">
        <f>SUM(D32:BZ32)</f>
        <v>156010528.44999999</v>
      </c>
      <c r="D32" s="15">
        <f>D29-D30-D31</f>
        <v>35757939.600000001</v>
      </c>
      <c r="E32" s="15">
        <f t="shared" ref="E32:BN32" si="11">E29-E30-E31</f>
        <v>1608483.55</v>
      </c>
      <c r="F32" s="15">
        <f t="shared" si="11"/>
        <v>143046.9</v>
      </c>
      <c r="G32" s="15">
        <f t="shared" si="11"/>
        <v>70739.950000000012</v>
      </c>
      <c r="H32" s="15">
        <f t="shared" si="11"/>
        <v>563599.65</v>
      </c>
      <c r="I32" s="15">
        <f t="shared" si="11"/>
        <v>4268743.75</v>
      </c>
      <c r="J32" s="15">
        <f t="shared" si="11"/>
        <v>2090804.7</v>
      </c>
      <c r="K32" s="15">
        <f t="shared" si="11"/>
        <v>45063.25</v>
      </c>
      <c r="L32" s="15">
        <f t="shared" si="11"/>
        <v>433887.14999999997</v>
      </c>
      <c r="M32" s="15">
        <f t="shared" si="11"/>
        <v>57662.15</v>
      </c>
      <c r="N32" s="15">
        <f t="shared" si="11"/>
        <v>78841.350000000006</v>
      </c>
      <c r="O32" s="15">
        <f t="shared" si="11"/>
        <v>469608.8</v>
      </c>
      <c r="P32" s="15">
        <f t="shared" si="11"/>
        <v>3699467.8</v>
      </c>
      <c r="Q32" s="15">
        <f t="shared" si="11"/>
        <v>3466181.25</v>
      </c>
      <c r="R32" s="15">
        <f t="shared" si="11"/>
        <v>705502.5</v>
      </c>
      <c r="S32" s="15">
        <f t="shared" si="11"/>
        <v>1964181.2000000002</v>
      </c>
      <c r="T32" s="15">
        <f t="shared" si="11"/>
        <v>2586075.3000000003</v>
      </c>
      <c r="U32" s="15">
        <f t="shared" si="11"/>
        <v>820008.60000000009</v>
      </c>
      <c r="V32" s="15">
        <f t="shared" si="11"/>
        <v>5384618.8499999996</v>
      </c>
      <c r="W32" s="15">
        <f t="shared" si="11"/>
        <v>1721687.4</v>
      </c>
      <c r="X32" s="15">
        <f t="shared" si="11"/>
        <v>4782860.6000000006</v>
      </c>
      <c r="Y32" s="15">
        <f t="shared" si="11"/>
        <v>1712011.25</v>
      </c>
      <c r="Z32" s="15">
        <f t="shared" si="11"/>
        <v>206655.7</v>
      </c>
      <c r="AA32" s="15">
        <f t="shared" si="11"/>
        <v>3487948.3000000003</v>
      </c>
      <c r="AB32" s="15">
        <f t="shared" si="11"/>
        <v>77327.350000000006</v>
      </c>
      <c r="AC32" s="15">
        <f t="shared" si="11"/>
        <v>2028522.8499999999</v>
      </c>
      <c r="AD32" s="15">
        <f t="shared" si="11"/>
        <v>495884.25</v>
      </c>
      <c r="AE32" s="15">
        <f t="shared" si="11"/>
        <v>4944796.9000000004</v>
      </c>
      <c r="AF32" s="15">
        <f t="shared" si="11"/>
        <v>363537.89999999997</v>
      </c>
      <c r="AG32" s="15">
        <f t="shared" si="11"/>
        <v>935510.3</v>
      </c>
      <c r="AH32" s="15">
        <f t="shared" si="11"/>
        <v>635685.10000000009</v>
      </c>
      <c r="AI32" s="15">
        <f t="shared" si="11"/>
        <v>567558.05000000005</v>
      </c>
      <c r="AJ32" s="15">
        <f t="shared" si="11"/>
        <v>702784.05</v>
      </c>
      <c r="AK32" s="15">
        <f t="shared" si="11"/>
        <v>1221706.1499999999</v>
      </c>
      <c r="AL32" s="15">
        <f t="shared" si="11"/>
        <v>672219.85</v>
      </c>
      <c r="AM32" s="15">
        <f t="shared" si="11"/>
        <v>1044185.6499999999</v>
      </c>
      <c r="AN32" s="15">
        <f t="shared" si="11"/>
        <v>84709.85</v>
      </c>
      <c r="AO32" s="15">
        <f t="shared" si="11"/>
        <v>1734202</v>
      </c>
      <c r="AP32" s="15">
        <f t="shared" si="11"/>
        <v>739165.15</v>
      </c>
      <c r="AQ32" s="15">
        <f t="shared" si="11"/>
        <v>589063.94999999995</v>
      </c>
      <c r="AR32" s="15">
        <f t="shared" si="11"/>
        <v>291430.8</v>
      </c>
      <c r="AS32" s="15">
        <f t="shared" si="11"/>
        <v>70475.55</v>
      </c>
      <c r="AT32" s="15">
        <f t="shared" si="11"/>
        <v>10762.4</v>
      </c>
      <c r="AU32" s="15">
        <f t="shared" si="11"/>
        <v>376421.1</v>
      </c>
      <c r="AV32" s="15">
        <f t="shared" si="11"/>
        <v>361457.3</v>
      </c>
      <c r="AW32" s="15">
        <f t="shared" si="11"/>
        <v>650584.55000000005</v>
      </c>
      <c r="AX32" s="15">
        <f t="shared" si="11"/>
        <v>506375.65</v>
      </c>
      <c r="AY32" s="15">
        <f t="shared" si="11"/>
        <v>1848931.55</v>
      </c>
      <c r="AZ32" s="15">
        <f t="shared" si="11"/>
        <v>792746.95000000007</v>
      </c>
      <c r="BA32" s="15">
        <f t="shared" si="11"/>
        <v>22740569.600000001</v>
      </c>
      <c r="BB32" s="15">
        <f t="shared" si="11"/>
        <v>1536277.3</v>
      </c>
      <c r="BC32" s="15">
        <f t="shared" si="11"/>
        <v>326732.15000000002</v>
      </c>
      <c r="BD32" s="15">
        <f t="shared" si="11"/>
        <v>375909.95</v>
      </c>
      <c r="BE32" s="15">
        <f t="shared" si="11"/>
        <v>1349433.65</v>
      </c>
      <c r="BF32" s="15">
        <f t="shared" si="11"/>
        <v>1328699.8999999999</v>
      </c>
      <c r="BG32" s="15">
        <f t="shared" si="11"/>
        <v>226343.25</v>
      </c>
      <c r="BH32" s="15">
        <f t="shared" si="11"/>
        <v>331647.14999999997</v>
      </c>
      <c r="BI32" s="15">
        <f t="shared" si="11"/>
        <v>1015238</v>
      </c>
      <c r="BJ32" s="15">
        <f t="shared" si="11"/>
        <v>227241.85</v>
      </c>
      <c r="BK32" s="15">
        <f t="shared" si="11"/>
        <v>196567.35</v>
      </c>
      <c r="BL32" s="15">
        <f t="shared" si="11"/>
        <v>1962524.0999999999</v>
      </c>
      <c r="BM32" s="15">
        <f t="shared" si="11"/>
        <v>1030877.6</v>
      </c>
      <c r="BN32" s="15">
        <f t="shared" si="11"/>
        <v>696157.29999999993</v>
      </c>
      <c r="BO32" s="15">
        <f t="shared" ref="BO32:BZ32" si="12">BO29-BO30-BO31</f>
        <v>2151755.9500000002</v>
      </c>
      <c r="BP32" s="15">
        <f t="shared" si="12"/>
        <v>1892782.15</v>
      </c>
      <c r="BQ32" s="15">
        <f t="shared" si="12"/>
        <v>1534714.3</v>
      </c>
      <c r="BR32" s="15">
        <f t="shared" si="12"/>
        <v>9446468.9499999993</v>
      </c>
      <c r="BS32" s="15">
        <f t="shared" si="12"/>
        <v>1144598.05</v>
      </c>
      <c r="BT32" s="15">
        <f t="shared" si="12"/>
        <v>1584350.45</v>
      </c>
      <c r="BU32" s="15">
        <f t="shared" si="12"/>
        <v>115972.1</v>
      </c>
      <c r="BV32" s="15">
        <f t="shared" si="12"/>
        <v>172191.45</v>
      </c>
      <c r="BW32" s="15">
        <f t="shared" si="12"/>
        <v>4899878.75</v>
      </c>
      <c r="BX32" s="15">
        <f t="shared" si="12"/>
        <v>313648.5</v>
      </c>
      <c r="BY32" s="15">
        <f t="shared" si="12"/>
        <v>717240.35</v>
      </c>
      <c r="BZ32" s="15">
        <f t="shared" si="12"/>
        <v>821043.55</v>
      </c>
      <c r="CA32" s="21"/>
      <c r="CB32" s="21"/>
    </row>
    <row r="33" spans="1:80" x14ac:dyDescent="0.2">
      <c r="B33" s="30"/>
      <c r="C33" s="15"/>
    </row>
    <row r="34" spans="1:80" x14ac:dyDescent="0.2">
      <c r="A34" s="35" t="s">
        <v>150</v>
      </c>
      <c r="B34" s="26" t="s">
        <v>84</v>
      </c>
      <c r="C34" s="1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</row>
    <row r="35" spans="1:80" x14ac:dyDescent="0.2">
      <c r="B35" s="30" t="s">
        <v>91</v>
      </c>
      <c r="C35" s="39">
        <f>C39/C41</f>
        <v>0.69041462225426131</v>
      </c>
      <c r="D35" s="12">
        <v>0.8</v>
      </c>
      <c r="E35" s="12">
        <v>0.8</v>
      </c>
      <c r="F35" s="12">
        <v>0.8</v>
      </c>
      <c r="G35" s="12">
        <v>0.8</v>
      </c>
      <c r="H35" s="12">
        <v>0.2</v>
      </c>
      <c r="I35" s="12">
        <v>0.4</v>
      </c>
      <c r="J35" s="12">
        <v>0.6</v>
      </c>
      <c r="K35" s="12">
        <v>0.3</v>
      </c>
      <c r="L35" s="12">
        <v>0.2</v>
      </c>
      <c r="M35" s="12">
        <v>0.8</v>
      </c>
      <c r="N35" s="12">
        <v>0.8</v>
      </c>
      <c r="O35" s="12">
        <v>0.8</v>
      </c>
      <c r="P35" s="12">
        <v>0.8</v>
      </c>
      <c r="Q35" s="12">
        <v>0.4</v>
      </c>
      <c r="R35" s="12">
        <v>0.8</v>
      </c>
      <c r="S35" s="12">
        <v>0.8</v>
      </c>
      <c r="T35" s="12">
        <v>0.4</v>
      </c>
      <c r="U35" s="12">
        <v>0.8</v>
      </c>
      <c r="V35" s="12">
        <v>0.6</v>
      </c>
      <c r="W35" s="12">
        <v>0.6</v>
      </c>
      <c r="X35" s="12">
        <v>0.8</v>
      </c>
      <c r="Y35" s="12">
        <v>0.8</v>
      </c>
      <c r="Z35" s="12">
        <v>0.8</v>
      </c>
      <c r="AA35" s="12">
        <v>0.8</v>
      </c>
      <c r="AB35" s="12">
        <v>0.8</v>
      </c>
      <c r="AC35" s="12">
        <v>0.8</v>
      </c>
      <c r="AD35" s="12">
        <v>0.8</v>
      </c>
      <c r="AE35" s="12">
        <v>0.8</v>
      </c>
      <c r="AF35" s="12">
        <v>0.8</v>
      </c>
      <c r="AG35" s="12">
        <v>0.8</v>
      </c>
      <c r="AH35" s="12">
        <v>0.7</v>
      </c>
      <c r="AI35" s="12">
        <v>0.8</v>
      </c>
      <c r="AJ35" s="12">
        <v>0.7</v>
      </c>
      <c r="AK35" s="12">
        <v>0.8</v>
      </c>
      <c r="AL35" s="12">
        <v>0.8</v>
      </c>
      <c r="AM35" s="12">
        <v>0.8</v>
      </c>
      <c r="AN35" s="12">
        <v>0.8</v>
      </c>
      <c r="AO35" s="12">
        <v>0.8</v>
      </c>
      <c r="AP35" s="12">
        <v>0.8</v>
      </c>
      <c r="AQ35" s="12">
        <v>0.8</v>
      </c>
      <c r="AR35" s="12">
        <v>0.8</v>
      </c>
      <c r="AS35" s="12">
        <v>0.8</v>
      </c>
      <c r="AT35" s="12">
        <v>0.8</v>
      </c>
      <c r="AU35" s="12">
        <v>0.8</v>
      </c>
      <c r="AV35" s="12">
        <v>0.8</v>
      </c>
      <c r="AW35" s="12">
        <v>0.8</v>
      </c>
      <c r="AX35" s="12">
        <v>0.8</v>
      </c>
      <c r="AY35" s="12">
        <v>0.8</v>
      </c>
      <c r="AZ35" s="12">
        <v>0.8</v>
      </c>
      <c r="BA35" s="12">
        <v>0.3</v>
      </c>
      <c r="BB35" s="12">
        <v>0.8</v>
      </c>
      <c r="BC35" s="12">
        <v>0.8</v>
      </c>
      <c r="BD35" s="12">
        <v>0.8</v>
      </c>
      <c r="BE35" s="12">
        <v>0.8</v>
      </c>
      <c r="BF35" s="12">
        <v>0.8</v>
      </c>
      <c r="BG35" s="12">
        <v>0.8</v>
      </c>
      <c r="BH35" s="12">
        <v>0.8</v>
      </c>
      <c r="BI35" s="12">
        <v>0.8</v>
      </c>
      <c r="BJ35" s="12">
        <v>0.8</v>
      </c>
      <c r="BK35" s="12">
        <v>0.5</v>
      </c>
      <c r="BL35" s="12">
        <v>0.8</v>
      </c>
      <c r="BM35" s="12">
        <v>0.6</v>
      </c>
      <c r="BN35" s="12">
        <v>0.8</v>
      </c>
      <c r="BO35" s="12">
        <v>0.6</v>
      </c>
      <c r="BP35" s="12">
        <v>0.8</v>
      </c>
      <c r="BQ35" s="12">
        <v>0.8</v>
      </c>
      <c r="BR35" s="12">
        <v>0.6</v>
      </c>
      <c r="BS35" s="12">
        <v>0.4</v>
      </c>
      <c r="BT35" s="12">
        <v>0.3</v>
      </c>
      <c r="BU35" s="12">
        <v>0.8</v>
      </c>
      <c r="BV35" s="12">
        <v>0.4</v>
      </c>
      <c r="BW35" s="12">
        <v>0.6</v>
      </c>
      <c r="BX35" s="12">
        <v>0.6</v>
      </c>
      <c r="BY35" s="12">
        <v>0.8</v>
      </c>
      <c r="BZ35" s="12">
        <v>0.8</v>
      </c>
      <c r="CB35" s="3" t="s">
        <v>109</v>
      </c>
    </row>
    <row r="36" spans="1:80" x14ac:dyDescent="0.2">
      <c r="B36" s="40"/>
      <c r="C36" s="15"/>
    </row>
    <row r="37" spans="1:80" x14ac:dyDescent="0.2">
      <c r="B37" s="30" t="s">
        <v>81</v>
      </c>
      <c r="C37" s="36">
        <f>SUM(D37:BZ37)</f>
        <v>96105130.140000015</v>
      </c>
      <c r="D37" s="12">
        <v>17316849</v>
      </c>
      <c r="E37" s="12">
        <v>1738908.1</v>
      </c>
      <c r="F37" s="12">
        <v>273322.09999999998</v>
      </c>
      <c r="G37" s="186">
        <v>225592.66</v>
      </c>
      <c r="H37" s="12">
        <v>258273.55</v>
      </c>
      <c r="I37" s="12">
        <v>1014701.23</v>
      </c>
      <c r="J37" s="12">
        <v>617942.19999999995</v>
      </c>
      <c r="K37" s="12">
        <v>69616.800000000003</v>
      </c>
      <c r="L37" s="12">
        <v>102155.2</v>
      </c>
      <c r="M37" s="12">
        <v>212802.4</v>
      </c>
      <c r="N37" s="12">
        <v>443988.9</v>
      </c>
      <c r="O37" s="12">
        <v>1545575</v>
      </c>
      <c r="P37" s="12">
        <v>1776077.1</v>
      </c>
      <c r="Q37" s="12">
        <v>831803.06</v>
      </c>
      <c r="R37" s="12">
        <v>648437.69999999995</v>
      </c>
      <c r="S37" s="12">
        <v>1225594.6399999999</v>
      </c>
      <c r="T37" s="12">
        <v>882529.91</v>
      </c>
      <c r="U37" s="12">
        <v>911421.48</v>
      </c>
      <c r="V37" s="12">
        <v>951079.35</v>
      </c>
      <c r="W37" s="12">
        <v>1143110.95</v>
      </c>
      <c r="X37" s="12">
        <v>2446751.56</v>
      </c>
      <c r="Y37" s="12">
        <v>854008.4</v>
      </c>
      <c r="Z37" s="12">
        <v>419125.2</v>
      </c>
      <c r="AA37" s="12">
        <v>2445367.7999999998</v>
      </c>
      <c r="AB37" s="12">
        <v>292142.65000000002</v>
      </c>
      <c r="AC37" s="12">
        <v>1925340.1</v>
      </c>
      <c r="AD37" s="12">
        <v>532741.85</v>
      </c>
      <c r="AE37" s="12">
        <v>1412752.3</v>
      </c>
      <c r="AF37" s="12">
        <v>666006.68000000005</v>
      </c>
      <c r="AG37" s="12">
        <v>1358144</v>
      </c>
      <c r="AH37" s="12">
        <v>2424838.65</v>
      </c>
      <c r="AI37" s="12">
        <v>1011647</v>
      </c>
      <c r="AJ37" s="12">
        <v>862606.7</v>
      </c>
      <c r="AK37" s="12">
        <v>1226566.8</v>
      </c>
      <c r="AL37" s="12">
        <v>1055886.6599999999</v>
      </c>
      <c r="AM37" s="12">
        <v>1685165.15</v>
      </c>
      <c r="AN37" s="12">
        <v>422112.35</v>
      </c>
      <c r="AO37" s="12">
        <v>1889515.85</v>
      </c>
      <c r="AP37" s="12">
        <v>1180333.8</v>
      </c>
      <c r="AQ37" s="12">
        <v>1185073.05</v>
      </c>
      <c r="AR37" s="12">
        <v>941167.75</v>
      </c>
      <c r="AS37" s="12">
        <v>536770.19999999995</v>
      </c>
      <c r="AT37" s="12">
        <v>416729</v>
      </c>
      <c r="AU37" s="12">
        <v>717604.66</v>
      </c>
      <c r="AV37" s="12">
        <v>565995.85</v>
      </c>
      <c r="AW37" s="12">
        <v>866736.3</v>
      </c>
      <c r="AX37" s="12">
        <v>1262203.3500000001</v>
      </c>
      <c r="AY37" s="12">
        <v>1355669.65</v>
      </c>
      <c r="AZ37" s="12">
        <v>904753.25</v>
      </c>
      <c r="BA37" s="12">
        <v>2982275.4</v>
      </c>
      <c r="BB37" s="12">
        <v>2114099.12</v>
      </c>
      <c r="BC37" s="12">
        <v>835389</v>
      </c>
      <c r="BD37" s="12">
        <v>630817.6</v>
      </c>
      <c r="BE37" s="12">
        <v>910549.15</v>
      </c>
      <c r="BF37" s="12">
        <v>1516705.05</v>
      </c>
      <c r="BG37" s="12">
        <v>314031.5</v>
      </c>
      <c r="BH37" s="12">
        <v>963794.86</v>
      </c>
      <c r="BI37" s="12">
        <v>872695.4</v>
      </c>
      <c r="BJ37" s="12">
        <v>268490.63</v>
      </c>
      <c r="BK37" s="12">
        <v>276690.95</v>
      </c>
      <c r="BL37" s="12">
        <v>1853317.55</v>
      </c>
      <c r="BM37" s="12">
        <v>692077.64</v>
      </c>
      <c r="BN37" s="12">
        <v>1173172.3</v>
      </c>
      <c r="BO37" s="12">
        <v>1886355.9</v>
      </c>
      <c r="BP37" s="12">
        <v>1701596.55</v>
      </c>
      <c r="BQ37" s="12">
        <v>648394.4</v>
      </c>
      <c r="BR37" s="12">
        <v>3944854.17</v>
      </c>
      <c r="BS37" s="12">
        <v>582056.44999999995</v>
      </c>
      <c r="BT37" s="12">
        <v>388960.9</v>
      </c>
      <c r="BU37" s="12">
        <v>297981.40999999997</v>
      </c>
      <c r="BV37" s="12">
        <v>309028.15000000002</v>
      </c>
      <c r="BW37" s="12">
        <v>3003784.31</v>
      </c>
      <c r="BX37" s="12">
        <v>306673.3</v>
      </c>
      <c r="BY37" s="12">
        <v>703432.91</v>
      </c>
      <c r="BZ37" s="12">
        <v>1874367.65</v>
      </c>
      <c r="CB37" s="3" t="s">
        <v>108</v>
      </c>
    </row>
    <row r="38" spans="1:80" x14ac:dyDescent="0.2">
      <c r="B38" s="30" t="s">
        <v>82</v>
      </c>
      <c r="C38" s="36">
        <f>SUM(D38:BZ38)</f>
        <v>5602.84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195.45</v>
      </c>
      <c r="K38" s="12">
        <v>0</v>
      </c>
      <c r="L38" s="12">
        <v>0</v>
      </c>
      <c r="M38" s="12">
        <v>0</v>
      </c>
      <c r="N38" s="12">
        <v>4.2</v>
      </c>
      <c r="O38" s="12">
        <v>0</v>
      </c>
      <c r="P38" s="12">
        <v>0.8</v>
      </c>
      <c r="Q38" s="12">
        <v>299.56</v>
      </c>
      <c r="R38" s="12">
        <v>0</v>
      </c>
      <c r="S38" s="12">
        <v>0</v>
      </c>
      <c r="T38" s="12">
        <v>0</v>
      </c>
      <c r="U38" s="12">
        <v>0</v>
      </c>
      <c r="V38" s="12">
        <v>9.6</v>
      </c>
      <c r="W38" s="12">
        <v>120.8</v>
      </c>
      <c r="X38" s="12">
        <v>0</v>
      </c>
      <c r="Y38" s="12">
        <v>0</v>
      </c>
      <c r="Z38" s="12">
        <v>0</v>
      </c>
      <c r="AA38" s="12">
        <v>7.2</v>
      </c>
      <c r="AB38" s="12">
        <v>0</v>
      </c>
      <c r="AC38" s="12">
        <v>81.83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3.6</v>
      </c>
      <c r="AL38" s="12">
        <v>0</v>
      </c>
      <c r="AM38" s="12">
        <v>0</v>
      </c>
      <c r="AN38" s="12">
        <v>1.45</v>
      </c>
      <c r="AO38" s="12">
        <v>0</v>
      </c>
      <c r="AP38" s="12">
        <v>2986.55</v>
      </c>
      <c r="AQ38" s="12">
        <v>9.25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-0.01</v>
      </c>
      <c r="AX38" s="12">
        <v>1.97</v>
      </c>
      <c r="AY38" s="12">
        <v>2.1</v>
      </c>
      <c r="AZ38" s="12">
        <v>0</v>
      </c>
      <c r="BA38" s="12">
        <v>0</v>
      </c>
      <c r="BB38" s="12">
        <v>0</v>
      </c>
      <c r="BC38" s="12">
        <v>0</v>
      </c>
      <c r="BD38" s="12">
        <v>10.01</v>
      </c>
      <c r="BE38" s="12">
        <v>0</v>
      </c>
      <c r="BF38" s="12">
        <v>0</v>
      </c>
      <c r="BG38" s="12">
        <v>0</v>
      </c>
      <c r="BH38" s="12">
        <v>1.4</v>
      </c>
      <c r="BI38" s="12">
        <v>0</v>
      </c>
      <c r="BJ38" s="12">
        <v>0</v>
      </c>
      <c r="BK38" s="12">
        <v>32.590000000000003</v>
      </c>
      <c r="BL38" s="12">
        <v>1022</v>
      </c>
      <c r="BM38" s="12">
        <v>0</v>
      </c>
      <c r="BN38" s="12">
        <v>360</v>
      </c>
      <c r="BO38" s="12">
        <v>104.3</v>
      </c>
      <c r="BP38" s="12">
        <v>345.65</v>
      </c>
      <c r="BQ38" s="12">
        <v>0</v>
      </c>
      <c r="BR38" s="12">
        <v>0</v>
      </c>
      <c r="BS38" s="12">
        <v>0</v>
      </c>
      <c r="BT38" s="12">
        <v>2.54</v>
      </c>
      <c r="BU38" s="12">
        <v>0</v>
      </c>
      <c r="BV38" s="12">
        <v>0</v>
      </c>
      <c r="BW38" s="12">
        <v>0</v>
      </c>
      <c r="BX38" s="12">
        <v>0</v>
      </c>
      <c r="BY38" s="12">
        <v>0</v>
      </c>
      <c r="BZ38" s="12">
        <v>0</v>
      </c>
      <c r="CB38" s="3" t="s">
        <v>108</v>
      </c>
    </row>
    <row r="39" spans="1:80" x14ac:dyDescent="0.2">
      <c r="B39" s="30" t="s">
        <v>83</v>
      </c>
      <c r="C39" s="36">
        <f>SUM(D39:BZ39)</f>
        <v>96099527.300000027</v>
      </c>
      <c r="D39" s="4">
        <f>D37-D38</f>
        <v>17316849</v>
      </c>
      <c r="E39" s="4">
        <f t="shared" ref="E39:BN39" si="13">E37-E38</f>
        <v>1738908.1</v>
      </c>
      <c r="F39" s="4">
        <f t="shared" si="13"/>
        <v>273322.09999999998</v>
      </c>
      <c r="G39" s="4">
        <f t="shared" si="13"/>
        <v>225592.66</v>
      </c>
      <c r="H39" s="4">
        <f t="shared" si="13"/>
        <v>258273.55</v>
      </c>
      <c r="I39" s="4">
        <f t="shared" si="13"/>
        <v>1014701.23</v>
      </c>
      <c r="J39" s="4">
        <f t="shared" si="13"/>
        <v>617746.75</v>
      </c>
      <c r="K39" s="4">
        <f t="shared" si="13"/>
        <v>69616.800000000003</v>
      </c>
      <c r="L39" s="4">
        <f t="shared" si="13"/>
        <v>102155.2</v>
      </c>
      <c r="M39" s="4">
        <f t="shared" si="13"/>
        <v>212802.4</v>
      </c>
      <c r="N39" s="4">
        <f t="shared" si="13"/>
        <v>443984.7</v>
      </c>
      <c r="O39" s="4">
        <f t="shared" si="13"/>
        <v>1545575</v>
      </c>
      <c r="P39" s="4">
        <f t="shared" si="13"/>
        <v>1776076.3</v>
      </c>
      <c r="Q39" s="4">
        <f t="shared" si="13"/>
        <v>831503.5</v>
      </c>
      <c r="R39" s="4">
        <f t="shared" si="13"/>
        <v>648437.69999999995</v>
      </c>
      <c r="S39" s="4">
        <f t="shared" si="13"/>
        <v>1225594.6399999999</v>
      </c>
      <c r="T39" s="4">
        <f t="shared" si="13"/>
        <v>882529.91</v>
      </c>
      <c r="U39" s="4">
        <f t="shared" si="13"/>
        <v>911421.48</v>
      </c>
      <c r="V39" s="4">
        <f t="shared" si="13"/>
        <v>951069.75</v>
      </c>
      <c r="W39" s="4">
        <f t="shared" si="13"/>
        <v>1142990.1499999999</v>
      </c>
      <c r="X39" s="4">
        <f t="shared" si="13"/>
        <v>2446751.56</v>
      </c>
      <c r="Y39" s="4">
        <f t="shared" si="13"/>
        <v>854008.4</v>
      </c>
      <c r="Z39" s="4">
        <f t="shared" si="13"/>
        <v>419125.2</v>
      </c>
      <c r="AA39" s="4">
        <f t="shared" si="13"/>
        <v>2445360.5999999996</v>
      </c>
      <c r="AB39" s="4">
        <f t="shared" si="13"/>
        <v>292142.65000000002</v>
      </c>
      <c r="AC39" s="4">
        <f t="shared" si="13"/>
        <v>1925258.27</v>
      </c>
      <c r="AD39" s="4">
        <f t="shared" si="13"/>
        <v>532741.85</v>
      </c>
      <c r="AE39" s="4">
        <f t="shared" si="13"/>
        <v>1412752.3</v>
      </c>
      <c r="AF39" s="4">
        <f t="shared" si="13"/>
        <v>666006.68000000005</v>
      </c>
      <c r="AG39" s="4">
        <f t="shared" si="13"/>
        <v>1358144</v>
      </c>
      <c r="AH39" s="4">
        <f t="shared" si="13"/>
        <v>2424838.65</v>
      </c>
      <c r="AI39" s="4">
        <f t="shared" si="13"/>
        <v>1011647</v>
      </c>
      <c r="AJ39" s="4">
        <f t="shared" si="13"/>
        <v>862606.7</v>
      </c>
      <c r="AK39" s="4">
        <f t="shared" si="13"/>
        <v>1226563.2</v>
      </c>
      <c r="AL39" s="4">
        <f t="shared" si="13"/>
        <v>1055886.6599999999</v>
      </c>
      <c r="AM39" s="4">
        <f t="shared" si="13"/>
        <v>1685165.15</v>
      </c>
      <c r="AN39" s="4">
        <f t="shared" si="13"/>
        <v>422110.89999999997</v>
      </c>
      <c r="AO39" s="4">
        <f t="shared" si="13"/>
        <v>1889515.85</v>
      </c>
      <c r="AP39" s="4">
        <f t="shared" si="13"/>
        <v>1177347.25</v>
      </c>
      <c r="AQ39" s="4">
        <f t="shared" si="13"/>
        <v>1185063.8</v>
      </c>
      <c r="AR39" s="4">
        <f t="shared" si="13"/>
        <v>941167.75</v>
      </c>
      <c r="AS39" s="4">
        <f t="shared" si="13"/>
        <v>536770.19999999995</v>
      </c>
      <c r="AT39" s="4">
        <f t="shared" si="13"/>
        <v>416729</v>
      </c>
      <c r="AU39" s="4">
        <f t="shared" si="13"/>
        <v>717604.66</v>
      </c>
      <c r="AV39" s="4">
        <f t="shared" si="13"/>
        <v>565995.85</v>
      </c>
      <c r="AW39" s="4">
        <f t="shared" si="13"/>
        <v>866736.31</v>
      </c>
      <c r="AX39" s="4">
        <f t="shared" si="13"/>
        <v>1262201.3800000001</v>
      </c>
      <c r="AY39" s="4">
        <f t="shared" si="13"/>
        <v>1355667.5499999998</v>
      </c>
      <c r="AZ39" s="4">
        <f t="shared" si="13"/>
        <v>904753.25</v>
      </c>
      <c r="BA39" s="4">
        <f t="shared" si="13"/>
        <v>2982275.4</v>
      </c>
      <c r="BB39" s="4">
        <f t="shared" si="13"/>
        <v>2114099.12</v>
      </c>
      <c r="BC39" s="4">
        <f t="shared" si="13"/>
        <v>835389</v>
      </c>
      <c r="BD39" s="4">
        <f t="shared" si="13"/>
        <v>630807.59</v>
      </c>
      <c r="BE39" s="4">
        <f t="shared" si="13"/>
        <v>910549.15</v>
      </c>
      <c r="BF39" s="4">
        <f t="shared" si="13"/>
        <v>1516705.05</v>
      </c>
      <c r="BG39" s="4">
        <f t="shared" si="13"/>
        <v>314031.5</v>
      </c>
      <c r="BH39" s="4">
        <f t="shared" ref="BH39" si="14">BH37-BH38</f>
        <v>963793.46</v>
      </c>
      <c r="BI39" s="4">
        <f t="shared" si="13"/>
        <v>872695.4</v>
      </c>
      <c r="BJ39" s="4">
        <f t="shared" si="13"/>
        <v>268490.63</v>
      </c>
      <c r="BK39" s="4">
        <f t="shared" si="13"/>
        <v>276658.36</v>
      </c>
      <c r="BL39" s="4">
        <f t="shared" si="13"/>
        <v>1852295.55</v>
      </c>
      <c r="BM39" s="4">
        <f t="shared" si="13"/>
        <v>692077.64</v>
      </c>
      <c r="BN39" s="4">
        <f t="shared" si="13"/>
        <v>1172812.3</v>
      </c>
      <c r="BO39" s="4">
        <f t="shared" ref="BO39:BZ39" si="15">BO37-BO38</f>
        <v>1886251.5999999999</v>
      </c>
      <c r="BP39" s="4">
        <f t="shared" si="15"/>
        <v>1701250.9000000001</v>
      </c>
      <c r="BQ39" s="4">
        <f t="shared" si="15"/>
        <v>648394.4</v>
      </c>
      <c r="BR39" s="4">
        <f t="shared" si="15"/>
        <v>3944854.17</v>
      </c>
      <c r="BS39" s="4">
        <f t="shared" si="15"/>
        <v>582056.44999999995</v>
      </c>
      <c r="BT39" s="4">
        <f t="shared" si="15"/>
        <v>388958.36000000004</v>
      </c>
      <c r="BU39" s="4">
        <f t="shared" si="15"/>
        <v>297981.40999999997</v>
      </c>
      <c r="BV39" s="4">
        <f t="shared" si="15"/>
        <v>309028.15000000002</v>
      </c>
      <c r="BW39" s="4">
        <f t="shared" si="15"/>
        <v>3003784.31</v>
      </c>
      <c r="BX39" s="4">
        <f t="shared" si="15"/>
        <v>306673.3</v>
      </c>
      <c r="BY39" s="4">
        <f t="shared" si="15"/>
        <v>703432.91</v>
      </c>
      <c r="BZ39" s="4">
        <f t="shared" si="15"/>
        <v>1874367.65</v>
      </c>
    </row>
    <row r="40" spans="1:80" x14ac:dyDescent="0.2">
      <c r="B40" s="30"/>
      <c r="C40" s="36"/>
    </row>
    <row r="41" spans="1:80" x14ac:dyDescent="0.2">
      <c r="B41" s="30" t="s">
        <v>92</v>
      </c>
      <c r="C41" s="36">
        <f>SUM(D41:BZ41)</f>
        <v>139191037.09916666</v>
      </c>
      <c r="D41" s="4">
        <f>D39/D35</f>
        <v>21646061.25</v>
      </c>
      <c r="E41" s="4">
        <f t="shared" ref="E41:BN41" si="16">E39/E35</f>
        <v>2173635.125</v>
      </c>
      <c r="F41" s="4">
        <f t="shared" si="16"/>
        <v>341652.62499999994</v>
      </c>
      <c r="G41" s="4">
        <f t="shared" si="16"/>
        <v>281990.82500000001</v>
      </c>
      <c r="H41" s="4">
        <f t="shared" si="16"/>
        <v>1291367.7499999998</v>
      </c>
      <c r="I41" s="4">
        <f t="shared" si="16"/>
        <v>2536753.0749999997</v>
      </c>
      <c r="J41" s="4">
        <f t="shared" si="16"/>
        <v>1029577.9166666667</v>
      </c>
      <c r="K41" s="4">
        <f t="shared" si="16"/>
        <v>232056.00000000003</v>
      </c>
      <c r="L41" s="4">
        <f t="shared" si="16"/>
        <v>510775.99999999994</v>
      </c>
      <c r="M41" s="4">
        <f t="shared" si="16"/>
        <v>266003</v>
      </c>
      <c r="N41" s="4">
        <f t="shared" si="16"/>
        <v>554980.875</v>
      </c>
      <c r="O41" s="4">
        <f t="shared" si="16"/>
        <v>1931968.75</v>
      </c>
      <c r="P41" s="4">
        <f t="shared" si="16"/>
        <v>2220095.375</v>
      </c>
      <c r="Q41" s="4">
        <f t="shared" si="16"/>
        <v>2078758.75</v>
      </c>
      <c r="R41" s="4">
        <f t="shared" si="16"/>
        <v>810547.12499999988</v>
      </c>
      <c r="S41" s="4">
        <f t="shared" si="16"/>
        <v>1531993.2999999998</v>
      </c>
      <c r="T41" s="4">
        <f t="shared" si="16"/>
        <v>2206324.7749999999</v>
      </c>
      <c r="U41" s="4">
        <f t="shared" si="16"/>
        <v>1139276.8499999999</v>
      </c>
      <c r="V41" s="4">
        <f t="shared" si="16"/>
        <v>1585116.25</v>
      </c>
      <c r="W41" s="4">
        <f t="shared" si="16"/>
        <v>1904983.5833333333</v>
      </c>
      <c r="X41" s="4">
        <f t="shared" si="16"/>
        <v>3058439.4499999997</v>
      </c>
      <c r="Y41" s="4">
        <f t="shared" si="16"/>
        <v>1067510.5</v>
      </c>
      <c r="Z41" s="4">
        <f t="shared" si="16"/>
        <v>523906.5</v>
      </c>
      <c r="AA41" s="4">
        <f t="shared" si="16"/>
        <v>3056700.7499999995</v>
      </c>
      <c r="AB41" s="4">
        <f t="shared" si="16"/>
        <v>365178.3125</v>
      </c>
      <c r="AC41" s="4">
        <f t="shared" si="16"/>
        <v>2406572.8374999999</v>
      </c>
      <c r="AD41" s="4">
        <f t="shared" si="16"/>
        <v>665927.31249999988</v>
      </c>
      <c r="AE41" s="4">
        <f t="shared" si="16"/>
        <v>1765940.375</v>
      </c>
      <c r="AF41" s="4">
        <f t="shared" si="16"/>
        <v>832508.35</v>
      </c>
      <c r="AG41" s="4">
        <f t="shared" si="16"/>
        <v>1697680</v>
      </c>
      <c r="AH41" s="4">
        <f t="shared" si="16"/>
        <v>3464055.2142857146</v>
      </c>
      <c r="AI41" s="4">
        <f t="shared" si="16"/>
        <v>1264558.75</v>
      </c>
      <c r="AJ41" s="4">
        <f t="shared" si="16"/>
        <v>1232295.2857142857</v>
      </c>
      <c r="AK41" s="4">
        <f t="shared" si="16"/>
        <v>1533203.9999999998</v>
      </c>
      <c r="AL41" s="4">
        <f t="shared" si="16"/>
        <v>1319858.3249999997</v>
      </c>
      <c r="AM41" s="4">
        <f t="shared" si="16"/>
        <v>2106456.4374999995</v>
      </c>
      <c r="AN41" s="4">
        <f t="shared" si="16"/>
        <v>527638.62499999988</v>
      </c>
      <c r="AO41" s="4">
        <f t="shared" si="16"/>
        <v>2361894.8125</v>
      </c>
      <c r="AP41" s="4">
        <f t="shared" si="16"/>
        <v>1471684.0625</v>
      </c>
      <c r="AQ41" s="4">
        <f t="shared" si="16"/>
        <v>1481329.75</v>
      </c>
      <c r="AR41" s="4">
        <f t="shared" si="16"/>
        <v>1176459.6875</v>
      </c>
      <c r="AS41" s="4">
        <f t="shared" si="16"/>
        <v>670962.74999999988</v>
      </c>
      <c r="AT41" s="4">
        <f t="shared" si="16"/>
        <v>520911.25</v>
      </c>
      <c r="AU41" s="4">
        <f t="shared" si="16"/>
        <v>897005.82499999995</v>
      </c>
      <c r="AV41" s="4">
        <f t="shared" si="16"/>
        <v>707494.81249999988</v>
      </c>
      <c r="AW41" s="4">
        <f t="shared" si="16"/>
        <v>1083420.3875</v>
      </c>
      <c r="AX41" s="4">
        <f t="shared" si="16"/>
        <v>1577751.7250000001</v>
      </c>
      <c r="AY41" s="4">
        <f t="shared" si="16"/>
        <v>1694584.4374999998</v>
      </c>
      <c r="AZ41" s="4">
        <f t="shared" si="16"/>
        <v>1130941.5625</v>
      </c>
      <c r="BA41" s="4">
        <f t="shared" si="16"/>
        <v>9940918</v>
      </c>
      <c r="BB41" s="4">
        <f t="shared" si="16"/>
        <v>2642623.9</v>
      </c>
      <c r="BC41" s="4">
        <f t="shared" si="16"/>
        <v>1044236.25</v>
      </c>
      <c r="BD41" s="4">
        <f t="shared" si="16"/>
        <v>788509.48749999993</v>
      </c>
      <c r="BE41" s="4">
        <f t="shared" si="16"/>
        <v>1138186.4375</v>
      </c>
      <c r="BF41" s="4">
        <f t="shared" si="16"/>
        <v>1895881.3125</v>
      </c>
      <c r="BG41" s="4">
        <f t="shared" si="16"/>
        <v>392539.375</v>
      </c>
      <c r="BH41" s="4">
        <f t="shared" ref="BH41" si="17">BH39/BH35</f>
        <v>1204741.825</v>
      </c>
      <c r="BI41" s="4">
        <f t="shared" si="16"/>
        <v>1090869.25</v>
      </c>
      <c r="BJ41" s="4">
        <f t="shared" si="16"/>
        <v>335613.28749999998</v>
      </c>
      <c r="BK41" s="4">
        <f t="shared" si="16"/>
        <v>553316.72</v>
      </c>
      <c r="BL41" s="4">
        <f t="shared" si="16"/>
        <v>2315369.4375</v>
      </c>
      <c r="BM41" s="4">
        <f t="shared" si="16"/>
        <v>1153462.7333333334</v>
      </c>
      <c r="BN41" s="4">
        <f t="shared" si="16"/>
        <v>1466015.375</v>
      </c>
      <c r="BO41" s="4">
        <f t="shared" ref="BO41:BZ41" si="18">BO39/BO35</f>
        <v>3143752.6666666665</v>
      </c>
      <c r="BP41" s="4">
        <f t="shared" si="18"/>
        <v>2126563.625</v>
      </c>
      <c r="BQ41" s="4">
        <f t="shared" si="18"/>
        <v>810493</v>
      </c>
      <c r="BR41" s="4">
        <f t="shared" si="18"/>
        <v>6574756.9500000002</v>
      </c>
      <c r="BS41" s="4">
        <f t="shared" si="18"/>
        <v>1455141.1249999998</v>
      </c>
      <c r="BT41" s="4">
        <f t="shared" si="18"/>
        <v>1296527.8666666669</v>
      </c>
      <c r="BU41" s="4">
        <f t="shared" si="18"/>
        <v>372476.76249999995</v>
      </c>
      <c r="BV41" s="4">
        <f t="shared" si="18"/>
        <v>772570.375</v>
      </c>
      <c r="BW41" s="4">
        <f t="shared" si="18"/>
        <v>5006307.1833333336</v>
      </c>
      <c r="BX41" s="4">
        <f t="shared" si="18"/>
        <v>511122.16666666669</v>
      </c>
      <c r="BY41" s="4">
        <f t="shared" si="18"/>
        <v>879291.13749999995</v>
      </c>
      <c r="BZ41" s="4">
        <f t="shared" si="18"/>
        <v>2342959.5624999995</v>
      </c>
    </row>
    <row r="42" spans="1:80" x14ac:dyDescent="0.2">
      <c r="B42" s="30"/>
      <c r="C42" s="15"/>
    </row>
    <row r="43" spans="1:80" x14ac:dyDescent="0.2">
      <c r="B43" s="32" t="s">
        <v>89</v>
      </c>
      <c r="C43" s="15">
        <f>C41*$C35</f>
        <v>96099527.300000027</v>
      </c>
      <c r="D43" s="15">
        <f>D41*$C35</f>
        <v>14944757.201211354</v>
      </c>
      <c r="E43" s="15">
        <f t="shared" ref="E43:BN43" si="19">E41*$C35</f>
        <v>1500709.473745469</v>
      </c>
      <c r="F43" s="15">
        <f t="shared" si="19"/>
        <v>235881.96803155175</v>
      </c>
      <c r="G43" s="15">
        <f t="shared" si="19"/>
        <v>194690.58892154251</v>
      </c>
      <c r="H43" s="15">
        <f t="shared" si="19"/>
        <v>891579.17730758525</v>
      </c>
      <c r="I43" s="15">
        <f t="shared" si="19"/>
        <v>1751411.4160284607</v>
      </c>
      <c r="J43" s="15">
        <f t="shared" si="19"/>
        <v>710835.64841674606</v>
      </c>
      <c r="K43" s="15">
        <f t="shared" si="19"/>
        <v>160214.85558183488</v>
      </c>
      <c r="L43" s="15">
        <f t="shared" si="19"/>
        <v>352647.21909654251</v>
      </c>
      <c r="M43" s="15">
        <f t="shared" si="19"/>
        <v>183652.36076350027</v>
      </c>
      <c r="N43" s="15">
        <f t="shared" si="19"/>
        <v>383166.91117146442</v>
      </c>
      <c r="O43" s="15">
        <f t="shared" si="19"/>
        <v>1333859.4747382875</v>
      </c>
      <c r="P43" s="15">
        <f t="shared" si="19"/>
        <v>1532786.3096990576</v>
      </c>
      <c r="Q43" s="15">
        <f t="shared" si="19"/>
        <v>1435205.4371389905</v>
      </c>
      <c r="R43" s="15">
        <f t="shared" si="19"/>
        <v>559613.58712615247</v>
      </c>
      <c r="S43" s="15">
        <f t="shared" si="19"/>
        <v>1057710.5755155592</v>
      </c>
      <c r="T43" s="15">
        <f t="shared" si="19"/>
        <v>1523278.8861018431</v>
      </c>
      <c r="U43" s="15">
        <f t="shared" si="19"/>
        <v>786573.39603577461</v>
      </c>
      <c r="V43" s="15">
        <f t="shared" si="19"/>
        <v>1094387.4369728412</v>
      </c>
      <c r="W43" s="15">
        <f t="shared" si="19"/>
        <v>1315228.5210876523</v>
      </c>
      <c r="X43" s="15">
        <f t="shared" si="19"/>
        <v>2111591.3175592804</v>
      </c>
      <c r="Y43" s="15">
        <f t="shared" si="19"/>
        <v>737024.85860995762</v>
      </c>
      <c r="Z43" s="15">
        <f t="shared" si="19"/>
        <v>361712.70829405217</v>
      </c>
      <c r="AA43" s="15">
        <f t="shared" si="19"/>
        <v>2110390.893655567</v>
      </c>
      <c r="AB43" s="15">
        <f t="shared" si="19"/>
        <v>252124.44668013608</v>
      </c>
      <c r="AC43" s="15">
        <f t="shared" si="19"/>
        <v>1661533.0765299283</v>
      </c>
      <c r="AD43" s="15">
        <f t="shared" si="19"/>
        <v>459765.95390848286</v>
      </c>
      <c r="AE43" s="15">
        <f t="shared" si="19"/>
        <v>1219231.0569291736</v>
      </c>
      <c r="AF43" s="15">
        <f t="shared" si="19"/>
        <v>574775.93798876833</v>
      </c>
      <c r="AG43" s="15">
        <f t="shared" si="19"/>
        <v>1172103.0959086143</v>
      </c>
      <c r="AH43" s="15">
        <f t="shared" si="19"/>
        <v>2391634.3722389759</v>
      </c>
      <c r="AI43" s="15">
        <f t="shared" si="19"/>
        <v>873069.85169957089</v>
      </c>
      <c r="AJ43" s="15">
        <f t="shared" si="19"/>
        <v>850794.68419213558</v>
      </c>
      <c r="AK43" s="15">
        <f t="shared" si="19"/>
        <v>1058546.4604987223</v>
      </c>
      <c r="AL43" s="15">
        <f t="shared" si="19"/>
        <v>911249.48688401689</v>
      </c>
      <c r="AM43" s="15">
        <f t="shared" si="19"/>
        <v>1454328.3255916191</v>
      </c>
      <c r="AN43" s="15">
        <f t="shared" si="19"/>
        <v>364289.42196613277</v>
      </c>
      <c r="AO43" s="15">
        <f t="shared" si="19"/>
        <v>1630686.7147764869</v>
      </c>
      <c r="AP43" s="15">
        <f t="shared" si="19"/>
        <v>1016072.1960885542</v>
      </c>
      <c r="AQ43" s="15">
        <f t="shared" si="19"/>
        <v>1022731.7197802493</v>
      </c>
      <c r="AR43" s="15">
        <f t="shared" si="19"/>
        <v>812244.97074267885</v>
      </c>
      <c r="AS43" s="15">
        <f t="shared" si="19"/>
        <v>463242.49358793028</v>
      </c>
      <c r="AT43" s="15">
        <f t="shared" si="19"/>
        <v>359644.74389674509</v>
      </c>
      <c r="AU43" s="15">
        <f t="shared" si="19"/>
        <v>619305.93782724696</v>
      </c>
      <c r="AV43" s="15">
        <f t="shared" si="19"/>
        <v>488464.76371903683</v>
      </c>
      <c r="AW43" s="15">
        <f t="shared" si="19"/>
        <v>748009.27757837786</v>
      </c>
      <c r="AX43" s="15">
        <f t="shared" si="19"/>
        <v>1089302.8612268842</v>
      </c>
      <c r="AY43" s="15">
        <f t="shared" si="19"/>
        <v>1169965.8742945122</v>
      </c>
      <c r="AZ43" s="15">
        <f t="shared" si="19"/>
        <v>780818.59166508156</v>
      </c>
      <c r="BA43" s="15">
        <f t="shared" si="19"/>
        <v>6863355.1458305866</v>
      </c>
      <c r="BB43" s="15">
        <f t="shared" si="19"/>
        <v>1824506.1816785827</v>
      </c>
      <c r="BC43" s="15">
        <f t="shared" si="19"/>
        <v>720955.97608795634</v>
      </c>
      <c r="BD43" s="15">
        <f t="shared" si="19"/>
        <v>544398.47995621362</v>
      </c>
      <c r="BE43" s="15">
        <f t="shared" si="19"/>
        <v>785820.55930148589</v>
      </c>
      <c r="BF43" s="15">
        <f t="shared" si="19"/>
        <v>1308944.1802086006</v>
      </c>
      <c r="BG43" s="15">
        <f t="shared" si="19"/>
        <v>271014.92431054881</v>
      </c>
      <c r="BH43" s="15">
        <f t="shared" ref="BH43" si="20">BH41*$C35</f>
        <v>831771.3720212843</v>
      </c>
      <c r="BI43" s="15">
        <f t="shared" si="19"/>
        <v>753152.08116753935</v>
      </c>
      <c r="BJ43" s="15">
        <f t="shared" si="19"/>
        <v>231712.32111282329</v>
      </c>
      <c r="BK43" s="15">
        <f t="shared" si="19"/>
        <v>382017.95422576688</v>
      </c>
      <c r="BL43" s="15">
        <f t="shared" si="19"/>
        <v>1598564.9155706239</v>
      </c>
      <c r="BM43" s="15">
        <f t="shared" si="19"/>
        <v>796367.53731870116</v>
      </c>
      <c r="BN43" s="15">
        <f t="shared" si="19"/>
        <v>1012158.4513495642</v>
      </c>
      <c r="BO43" s="15">
        <f t="shared" ref="BO43:BZ43" si="21">BO41*$C35</f>
        <v>2170492.8098174934</v>
      </c>
      <c r="BP43" s="15">
        <f t="shared" si="21"/>
        <v>1468210.6218540275</v>
      </c>
      <c r="BQ43" s="15">
        <f t="shared" si="21"/>
        <v>559576.21843472298</v>
      </c>
      <c r="BR43" s="15">
        <f t="shared" si="21"/>
        <v>4539308.3360478291</v>
      </c>
      <c r="BS43" s="15">
        <f t="shared" si="21"/>
        <v>1004650.7101435157</v>
      </c>
      <c r="BT43" s="15">
        <f t="shared" si="21"/>
        <v>895141.79730679013</v>
      </c>
      <c r="BU43" s="15">
        <f t="shared" si="21"/>
        <v>257163.40327992768</v>
      </c>
      <c r="BV43" s="15">
        <f t="shared" si="21"/>
        <v>533393.88362045796</v>
      </c>
      <c r="BW43" s="15">
        <f t="shared" si="21"/>
        <v>3456427.6828698786</v>
      </c>
      <c r="BX43" s="15">
        <f t="shared" si="21"/>
        <v>352886.21762494626</v>
      </c>
      <c r="BY43" s="15">
        <f t="shared" si="21"/>
        <v>607075.45854858216</v>
      </c>
      <c r="BZ43" s="15">
        <f t="shared" si="21"/>
        <v>1617613.5413004465</v>
      </c>
    </row>
    <row r="44" spans="1:80" x14ac:dyDescent="0.2">
      <c r="B44" s="30"/>
      <c r="C44" s="15"/>
    </row>
    <row r="45" spans="1:80" x14ac:dyDescent="0.2">
      <c r="A45" s="35" t="s">
        <v>151</v>
      </c>
      <c r="B45" s="26" t="s">
        <v>85</v>
      </c>
      <c r="C45" s="1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</row>
    <row r="46" spans="1:80" x14ac:dyDescent="0.2">
      <c r="B46" s="30" t="s">
        <v>81</v>
      </c>
      <c r="C46" s="36">
        <f>SUM(D46:BZ46)</f>
        <v>1565417.9599999997</v>
      </c>
      <c r="D46" s="9">
        <v>327957</v>
      </c>
      <c r="E46" s="9">
        <v>31901.88</v>
      </c>
      <c r="F46" s="9">
        <v>3307.1</v>
      </c>
      <c r="G46" s="9">
        <v>2928.3</v>
      </c>
      <c r="H46" s="9">
        <v>10900.6</v>
      </c>
      <c r="I46" s="9">
        <v>16200.84</v>
      </c>
      <c r="J46" s="9">
        <v>11989.2</v>
      </c>
      <c r="K46" s="9">
        <v>1989.75</v>
      </c>
      <c r="L46" s="9">
        <v>0</v>
      </c>
      <c r="M46" s="9">
        <v>2744.15</v>
      </c>
      <c r="N46" s="9">
        <v>6128.85</v>
      </c>
      <c r="O46" s="9">
        <v>16056</v>
      </c>
      <c r="P46" s="9">
        <v>38541.4</v>
      </c>
      <c r="Q46" s="9">
        <v>21571.1</v>
      </c>
      <c r="R46" s="9">
        <v>11996.55</v>
      </c>
      <c r="S46" s="9">
        <v>12685.72</v>
      </c>
      <c r="T46" s="9">
        <v>29048.89</v>
      </c>
      <c r="U46" s="9">
        <v>7515.2</v>
      </c>
      <c r="V46" s="9">
        <v>9290.1</v>
      </c>
      <c r="W46" s="9">
        <v>18349.599999999999</v>
      </c>
      <c r="X46" s="9">
        <v>16614.939999999999</v>
      </c>
      <c r="Y46" s="9">
        <v>7895.6</v>
      </c>
      <c r="Z46" s="9">
        <v>3798.75</v>
      </c>
      <c r="AA46" s="9">
        <v>42459.8</v>
      </c>
      <c r="AB46" s="9">
        <v>2122.8000000000002</v>
      </c>
      <c r="AC46" s="9">
        <v>25045.8</v>
      </c>
      <c r="AD46" s="9">
        <v>4004.8</v>
      </c>
      <c r="AE46" s="9">
        <v>26252.400000000001</v>
      </c>
      <c r="AF46" s="9">
        <v>7764.6</v>
      </c>
      <c r="AG46" s="9">
        <v>25399.35</v>
      </c>
      <c r="AH46" s="9">
        <v>33752</v>
      </c>
      <c r="AI46" s="9">
        <v>6267</v>
      </c>
      <c r="AJ46" s="9">
        <v>11550.1</v>
      </c>
      <c r="AK46" s="9">
        <v>12348.55</v>
      </c>
      <c r="AL46" s="9">
        <v>9725.2999999999993</v>
      </c>
      <c r="AM46" s="9">
        <v>11665.5</v>
      </c>
      <c r="AN46" s="9">
        <v>25858.45</v>
      </c>
      <c r="AO46" s="9">
        <v>27546.75</v>
      </c>
      <c r="AP46" s="9">
        <v>11703</v>
      </c>
      <c r="AQ46" s="9">
        <v>11991.8</v>
      </c>
      <c r="AR46" s="9">
        <v>184.2</v>
      </c>
      <c r="AS46" s="9">
        <v>5677.95</v>
      </c>
      <c r="AT46" s="9">
        <v>6040</v>
      </c>
      <c r="AU46" s="9">
        <v>6854.84</v>
      </c>
      <c r="AV46" s="9">
        <v>5593.6</v>
      </c>
      <c r="AW46" s="9">
        <v>7191.9</v>
      </c>
      <c r="AX46" s="9">
        <v>10881.45</v>
      </c>
      <c r="AY46" s="9">
        <v>26707.5</v>
      </c>
      <c r="AZ46" s="9">
        <v>13653.1</v>
      </c>
      <c r="BA46" s="9">
        <v>102585.45</v>
      </c>
      <c r="BB46" s="9">
        <v>22384.95</v>
      </c>
      <c r="BC46" s="9">
        <v>7420.6</v>
      </c>
      <c r="BD46" s="9">
        <v>19859.8</v>
      </c>
      <c r="BE46" s="9">
        <v>12341.82</v>
      </c>
      <c r="BF46" s="9">
        <v>33783.199999999997</v>
      </c>
      <c r="BG46" s="9">
        <v>4306.3500000000004</v>
      </c>
      <c r="BH46" s="9">
        <v>22370</v>
      </c>
      <c r="BI46" s="9">
        <v>16248.4</v>
      </c>
      <c r="BJ46" s="9">
        <v>3204.8</v>
      </c>
      <c r="BK46" s="9">
        <v>9907.24</v>
      </c>
      <c r="BL46" s="9">
        <v>30418.45</v>
      </c>
      <c r="BM46" s="9">
        <v>7014.71</v>
      </c>
      <c r="BN46" s="9">
        <v>13719</v>
      </c>
      <c r="BO46" s="9">
        <v>29558.5</v>
      </c>
      <c r="BP46" s="9">
        <v>30483.15</v>
      </c>
      <c r="BQ46" s="9">
        <v>12910.25</v>
      </c>
      <c r="BR46" s="9">
        <v>101215.45</v>
      </c>
      <c r="BS46" s="9">
        <v>8779.85</v>
      </c>
      <c r="BT46" s="9">
        <v>9798.4500000000007</v>
      </c>
      <c r="BU46" s="9">
        <v>1268.4000000000001</v>
      </c>
      <c r="BV46" s="9">
        <v>7992.5</v>
      </c>
      <c r="BW46" s="9">
        <v>31763.24</v>
      </c>
      <c r="BX46" s="9">
        <v>5595.35</v>
      </c>
      <c r="BY46" s="9">
        <v>12717.14</v>
      </c>
      <c r="BZ46" s="9">
        <v>20116.849999999999</v>
      </c>
      <c r="CB46" s="3" t="s">
        <v>108</v>
      </c>
    </row>
    <row r="47" spans="1:80" x14ac:dyDescent="0.2">
      <c r="B47" s="30" t="s">
        <v>82</v>
      </c>
      <c r="C47" s="36">
        <f>SUM(D47:BZ47)</f>
        <v>11.899999999999999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0.2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11.7</v>
      </c>
      <c r="BM47" s="9">
        <v>0</v>
      </c>
      <c r="BN47" s="9">
        <v>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9">
        <v>0</v>
      </c>
      <c r="BW47" s="9">
        <v>0</v>
      </c>
      <c r="BX47" s="9">
        <v>0</v>
      </c>
      <c r="BY47" s="9">
        <v>0</v>
      </c>
      <c r="BZ47" s="9">
        <v>0</v>
      </c>
      <c r="CB47" s="3" t="s">
        <v>108</v>
      </c>
    </row>
    <row r="48" spans="1:80" s="32" customFormat="1" x14ac:dyDescent="0.2">
      <c r="A48" s="21"/>
      <c r="B48" s="32" t="s">
        <v>90</v>
      </c>
      <c r="C48" s="15">
        <f>SUM(D48:BZ48)</f>
        <v>1565406.0599999996</v>
      </c>
      <c r="D48" s="34">
        <f>D46-D47</f>
        <v>327957</v>
      </c>
      <c r="E48" s="34">
        <f t="shared" ref="E48:BN48" si="22">E46-E47</f>
        <v>31901.88</v>
      </c>
      <c r="F48" s="34">
        <f t="shared" si="22"/>
        <v>3307.1</v>
      </c>
      <c r="G48" s="34">
        <f t="shared" si="22"/>
        <v>2928.3</v>
      </c>
      <c r="H48" s="34">
        <f t="shared" si="22"/>
        <v>10900.6</v>
      </c>
      <c r="I48" s="34">
        <f t="shared" si="22"/>
        <v>16200.84</v>
      </c>
      <c r="J48" s="34">
        <f t="shared" si="22"/>
        <v>11989.2</v>
      </c>
      <c r="K48" s="34">
        <f t="shared" si="22"/>
        <v>1989.75</v>
      </c>
      <c r="L48" s="34">
        <f t="shared" si="22"/>
        <v>0</v>
      </c>
      <c r="M48" s="34">
        <f t="shared" si="22"/>
        <v>2744.15</v>
      </c>
      <c r="N48" s="34">
        <f t="shared" si="22"/>
        <v>6128.85</v>
      </c>
      <c r="O48" s="34">
        <f t="shared" si="22"/>
        <v>16056</v>
      </c>
      <c r="P48" s="34">
        <f t="shared" si="22"/>
        <v>38541.4</v>
      </c>
      <c r="Q48" s="34">
        <f t="shared" si="22"/>
        <v>21571.1</v>
      </c>
      <c r="R48" s="34">
        <f t="shared" si="22"/>
        <v>11996.55</v>
      </c>
      <c r="S48" s="34">
        <f t="shared" si="22"/>
        <v>12685.72</v>
      </c>
      <c r="T48" s="34">
        <f t="shared" si="22"/>
        <v>29048.89</v>
      </c>
      <c r="U48" s="34">
        <f t="shared" si="22"/>
        <v>7515.2</v>
      </c>
      <c r="V48" s="34">
        <f t="shared" si="22"/>
        <v>9290.1</v>
      </c>
      <c r="W48" s="34">
        <f t="shared" si="22"/>
        <v>18349.599999999999</v>
      </c>
      <c r="X48" s="34">
        <f t="shared" si="22"/>
        <v>16614.939999999999</v>
      </c>
      <c r="Y48" s="34">
        <f t="shared" si="22"/>
        <v>7895.6</v>
      </c>
      <c r="Z48" s="34">
        <f t="shared" si="22"/>
        <v>3798.75</v>
      </c>
      <c r="AA48" s="34">
        <f t="shared" si="22"/>
        <v>42459.8</v>
      </c>
      <c r="AB48" s="34">
        <f t="shared" si="22"/>
        <v>2122.8000000000002</v>
      </c>
      <c r="AC48" s="34">
        <f t="shared" si="22"/>
        <v>25045.8</v>
      </c>
      <c r="AD48" s="34">
        <f t="shared" si="22"/>
        <v>4004.8</v>
      </c>
      <c r="AE48" s="34">
        <f t="shared" si="22"/>
        <v>26252.400000000001</v>
      </c>
      <c r="AF48" s="34">
        <f t="shared" si="22"/>
        <v>7764.6</v>
      </c>
      <c r="AG48" s="34">
        <f t="shared" si="22"/>
        <v>25399.35</v>
      </c>
      <c r="AH48" s="34">
        <f t="shared" si="22"/>
        <v>33752</v>
      </c>
      <c r="AI48" s="34">
        <f t="shared" si="22"/>
        <v>6267</v>
      </c>
      <c r="AJ48" s="34">
        <f t="shared" si="22"/>
        <v>11550.1</v>
      </c>
      <c r="AK48" s="34">
        <f t="shared" si="22"/>
        <v>12348.55</v>
      </c>
      <c r="AL48" s="34">
        <f t="shared" si="22"/>
        <v>9725.2999999999993</v>
      </c>
      <c r="AM48" s="34">
        <f t="shared" si="22"/>
        <v>11665.5</v>
      </c>
      <c r="AN48" s="34">
        <f t="shared" si="22"/>
        <v>25858.45</v>
      </c>
      <c r="AO48" s="34">
        <f t="shared" si="22"/>
        <v>27546.75</v>
      </c>
      <c r="AP48" s="34">
        <f t="shared" si="22"/>
        <v>11703</v>
      </c>
      <c r="AQ48" s="34">
        <f t="shared" si="22"/>
        <v>11991.8</v>
      </c>
      <c r="AR48" s="34">
        <f t="shared" si="22"/>
        <v>184.2</v>
      </c>
      <c r="AS48" s="34">
        <f t="shared" si="22"/>
        <v>5677.95</v>
      </c>
      <c r="AT48" s="34">
        <f t="shared" si="22"/>
        <v>6040</v>
      </c>
      <c r="AU48" s="34">
        <f t="shared" si="22"/>
        <v>6854.84</v>
      </c>
      <c r="AV48" s="34">
        <f t="shared" si="22"/>
        <v>5593.6</v>
      </c>
      <c r="AW48" s="34">
        <f t="shared" si="22"/>
        <v>7191.9</v>
      </c>
      <c r="AX48" s="34">
        <f t="shared" si="22"/>
        <v>10881.45</v>
      </c>
      <c r="AY48" s="34">
        <f t="shared" si="22"/>
        <v>26707.5</v>
      </c>
      <c r="AZ48" s="34">
        <f t="shared" si="22"/>
        <v>13653.1</v>
      </c>
      <c r="BA48" s="34">
        <f t="shared" si="22"/>
        <v>102585.45</v>
      </c>
      <c r="BB48" s="34">
        <f t="shared" si="22"/>
        <v>22384.95</v>
      </c>
      <c r="BC48" s="34">
        <f t="shared" si="22"/>
        <v>7420.4000000000005</v>
      </c>
      <c r="BD48" s="34">
        <f t="shared" si="22"/>
        <v>19859.8</v>
      </c>
      <c r="BE48" s="34">
        <f t="shared" si="22"/>
        <v>12341.82</v>
      </c>
      <c r="BF48" s="34">
        <f t="shared" si="22"/>
        <v>33783.199999999997</v>
      </c>
      <c r="BG48" s="34">
        <f t="shared" si="22"/>
        <v>4306.3500000000004</v>
      </c>
      <c r="BH48" s="34">
        <f t="shared" si="22"/>
        <v>22370</v>
      </c>
      <c r="BI48" s="34">
        <f t="shared" si="22"/>
        <v>16248.4</v>
      </c>
      <c r="BJ48" s="34">
        <f t="shared" si="22"/>
        <v>3204.8</v>
      </c>
      <c r="BK48" s="34">
        <f t="shared" si="22"/>
        <v>9907.24</v>
      </c>
      <c r="BL48" s="34">
        <f t="shared" si="22"/>
        <v>30406.75</v>
      </c>
      <c r="BM48" s="34">
        <f t="shared" si="22"/>
        <v>7014.71</v>
      </c>
      <c r="BN48" s="34">
        <f t="shared" si="22"/>
        <v>13719</v>
      </c>
      <c r="BO48" s="34">
        <f t="shared" ref="BO48:BZ48" si="23">BO46-BO47</f>
        <v>29558.5</v>
      </c>
      <c r="BP48" s="34">
        <f t="shared" si="23"/>
        <v>30483.15</v>
      </c>
      <c r="BQ48" s="34">
        <f t="shared" si="23"/>
        <v>12910.25</v>
      </c>
      <c r="BR48" s="34">
        <f t="shared" si="23"/>
        <v>101215.45</v>
      </c>
      <c r="BS48" s="34">
        <f t="shared" si="23"/>
        <v>8779.85</v>
      </c>
      <c r="BT48" s="34">
        <f t="shared" si="23"/>
        <v>9798.4500000000007</v>
      </c>
      <c r="BU48" s="34">
        <f t="shared" si="23"/>
        <v>1268.4000000000001</v>
      </c>
      <c r="BV48" s="34">
        <f t="shared" si="23"/>
        <v>7992.5</v>
      </c>
      <c r="BW48" s="34">
        <f t="shared" si="23"/>
        <v>31763.24</v>
      </c>
      <c r="BX48" s="34">
        <f t="shared" si="23"/>
        <v>5595.35</v>
      </c>
      <c r="BY48" s="34">
        <f t="shared" si="23"/>
        <v>12717.14</v>
      </c>
      <c r="BZ48" s="34">
        <f t="shared" si="23"/>
        <v>20116.849999999999</v>
      </c>
      <c r="CA48" s="21"/>
      <c r="CB48" s="21"/>
    </row>
    <row r="49" spans="1:80" x14ac:dyDescent="0.2">
      <c r="B49" s="30"/>
      <c r="C49" s="15"/>
    </row>
    <row r="50" spans="1:80" x14ac:dyDescent="0.2">
      <c r="A50" s="35" t="s">
        <v>152</v>
      </c>
      <c r="B50" s="26" t="s">
        <v>2</v>
      </c>
      <c r="C50" s="1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</row>
    <row r="51" spans="1:80" x14ac:dyDescent="0.2">
      <c r="B51" s="30" t="s">
        <v>81</v>
      </c>
      <c r="C51" s="36">
        <f>SUM(D51:BZ51)</f>
        <v>64401961.040000014</v>
      </c>
      <c r="D51" s="9">
        <v>9757685</v>
      </c>
      <c r="E51" s="9">
        <v>786866</v>
      </c>
      <c r="F51" s="9">
        <v>107067.5</v>
      </c>
      <c r="G51" s="9">
        <v>70239</v>
      </c>
      <c r="H51" s="9">
        <v>603822.6</v>
      </c>
      <c r="I51" s="9">
        <v>1589486.53</v>
      </c>
      <c r="J51" s="193">
        <v>363574.5</v>
      </c>
      <c r="K51" s="9">
        <v>283035.88</v>
      </c>
      <c r="L51" s="9">
        <v>480473.5</v>
      </c>
      <c r="M51" s="9">
        <v>76943.33</v>
      </c>
      <c r="N51" s="9">
        <v>252361.4</v>
      </c>
      <c r="O51" s="9">
        <v>1399283</v>
      </c>
      <c r="P51" s="9">
        <v>1213580.95</v>
      </c>
      <c r="Q51" s="9">
        <v>1519580.1</v>
      </c>
      <c r="R51" s="9">
        <v>426593.5</v>
      </c>
      <c r="S51" s="9">
        <v>2496318.44</v>
      </c>
      <c r="T51" s="9">
        <v>935876.87</v>
      </c>
      <c r="U51" s="9">
        <v>431011.13</v>
      </c>
      <c r="V51" s="9">
        <v>872968.05</v>
      </c>
      <c r="W51" s="9">
        <v>1126628.55</v>
      </c>
      <c r="X51" s="9">
        <v>948373.4</v>
      </c>
      <c r="Y51" s="9">
        <v>754394.95</v>
      </c>
      <c r="Z51" s="9">
        <v>186095.75</v>
      </c>
      <c r="AA51" s="9">
        <v>978296.25</v>
      </c>
      <c r="AB51" s="9">
        <v>176242.95</v>
      </c>
      <c r="AC51" s="9">
        <v>612772.21</v>
      </c>
      <c r="AD51" s="9">
        <v>210477.6</v>
      </c>
      <c r="AE51" s="9">
        <v>682727.25</v>
      </c>
      <c r="AF51" s="9">
        <v>523367.25</v>
      </c>
      <c r="AG51" s="9">
        <v>908985.85</v>
      </c>
      <c r="AH51" s="9">
        <v>1072016.6000000001</v>
      </c>
      <c r="AI51" s="9">
        <v>540529</v>
      </c>
      <c r="AJ51" s="9">
        <v>403969.75</v>
      </c>
      <c r="AK51" s="9">
        <v>273309.55</v>
      </c>
      <c r="AL51" s="9">
        <v>616935.4</v>
      </c>
      <c r="AM51" s="9">
        <v>817600.35</v>
      </c>
      <c r="AN51" s="9">
        <v>117032.05</v>
      </c>
      <c r="AO51" s="9">
        <v>1017207.55</v>
      </c>
      <c r="AP51" s="9">
        <v>586120.1</v>
      </c>
      <c r="AQ51" s="9">
        <v>427020.95</v>
      </c>
      <c r="AR51" s="9">
        <v>525513.80000000005</v>
      </c>
      <c r="AS51" s="9">
        <v>320094.95</v>
      </c>
      <c r="AT51" s="9">
        <v>384148</v>
      </c>
      <c r="AU51" s="9">
        <v>316905.34999999998</v>
      </c>
      <c r="AV51" s="9">
        <v>263721.15000000002</v>
      </c>
      <c r="AW51" s="9">
        <v>381704.25</v>
      </c>
      <c r="AX51" s="9">
        <v>1005066.6</v>
      </c>
      <c r="AY51" s="9">
        <v>735739.25</v>
      </c>
      <c r="AZ51" s="9">
        <v>676402.95</v>
      </c>
      <c r="BA51" s="9">
        <v>3299613.25</v>
      </c>
      <c r="BB51" s="9">
        <v>1534940.85</v>
      </c>
      <c r="BC51" s="9">
        <v>478772.8</v>
      </c>
      <c r="BD51" s="9">
        <v>458207.4</v>
      </c>
      <c r="BE51" s="9">
        <v>505987.45</v>
      </c>
      <c r="BF51" s="9">
        <v>786684.55</v>
      </c>
      <c r="BG51" s="9">
        <v>256596</v>
      </c>
      <c r="BH51" s="9">
        <v>760993.06</v>
      </c>
      <c r="BI51" s="9">
        <v>759097.05</v>
      </c>
      <c r="BJ51" s="9">
        <v>295190.21000000002</v>
      </c>
      <c r="BK51" s="9">
        <v>158356.5</v>
      </c>
      <c r="BL51" s="9">
        <v>1208003.6499999999</v>
      </c>
      <c r="BM51" s="9">
        <v>406374.63</v>
      </c>
      <c r="BN51" s="9">
        <v>944996.3</v>
      </c>
      <c r="BO51" s="9">
        <v>1797239.25</v>
      </c>
      <c r="BP51" s="9">
        <v>889151.85</v>
      </c>
      <c r="BQ51" s="9">
        <v>343061.2</v>
      </c>
      <c r="BR51" s="9">
        <v>2543488</v>
      </c>
      <c r="BS51" s="9">
        <v>843476.95</v>
      </c>
      <c r="BT51" s="9">
        <v>361093.25</v>
      </c>
      <c r="BU51" s="9">
        <v>140355.29999999999</v>
      </c>
      <c r="BV51" s="9">
        <v>313785.84999999998</v>
      </c>
      <c r="BW51" s="9">
        <v>2170204.9500000002</v>
      </c>
      <c r="BX51" s="9">
        <v>178326</v>
      </c>
      <c r="BY51" s="9">
        <v>300883.3</v>
      </c>
      <c r="BZ51" s="9">
        <v>1410914.55</v>
      </c>
      <c r="CB51" s="3" t="s">
        <v>108</v>
      </c>
    </row>
    <row r="52" spans="1:80" x14ac:dyDescent="0.2">
      <c r="B52" s="30" t="s">
        <v>82</v>
      </c>
      <c r="C52" s="36">
        <f>SUM(D52:BZ52)</f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9">
        <v>0</v>
      </c>
      <c r="BW52" s="9">
        <v>0</v>
      </c>
      <c r="BX52" s="9">
        <v>0</v>
      </c>
      <c r="BY52" s="9">
        <v>0</v>
      </c>
      <c r="BZ52" s="9">
        <v>0</v>
      </c>
      <c r="CB52" s="3" t="s">
        <v>108</v>
      </c>
    </row>
    <row r="53" spans="1:80" s="32" customFormat="1" x14ac:dyDescent="0.2">
      <c r="A53" s="21"/>
      <c r="B53" s="32" t="s">
        <v>90</v>
      </c>
      <c r="C53" s="15">
        <f>SUM(D53:BZ53)</f>
        <v>64401961.040000014</v>
      </c>
      <c r="D53" s="34">
        <f>D51-D52</f>
        <v>9757685</v>
      </c>
      <c r="E53" s="34">
        <f t="shared" ref="E53:BN53" si="24">E51-E52</f>
        <v>786866</v>
      </c>
      <c r="F53" s="34">
        <f t="shared" si="24"/>
        <v>107067.5</v>
      </c>
      <c r="G53" s="34">
        <f t="shared" si="24"/>
        <v>70239</v>
      </c>
      <c r="H53" s="34">
        <f t="shared" si="24"/>
        <v>603822.6</v>
      </c>
      <c r="I53" s="34">
        <f t="shared" si="24"/>
        <v>1589486.53</v>
      </c>
      <c r="J53" s="34">
        <f t="shared" si="24"/>
        <v>363574.5</v>
      </c>
      <c r="K53" s="34">
        <f t="shared" si="24"/>
        <v>283035.88</v>
      </c>
      <c r="L53" s="34">
        <f t="shared" si="24"/>
        <v>480473.5</v>
      </c>
      <c r="M53" s="34">
        <f t="shared" si="24"/>
        <v>76943.33</v>
      </c>
      <c r="N53" s="34">
        <f t="shared" si="24"/>
        <v>252361.4</v>
      </c>
      <c r="O53" s="34">
        <f t="shared" si="24"/>
        <v>1399283</v>
      </c>
      <c r="P53" s="34">
        <f t="shared" si="24"/>
        <v>1213580.95</v>
      </c>
      <c r="Q53" s="34">
        <f t="shared" si="24"/>
        <v>1519580.1</v>
      </c>
      <c r="R53" s="34">
        <f t="shared" si="24"/>
        <v>426593.5</v>
      </c>
      <c r="S53" s="34">
        <f t="shared" si="24"/>
        <v>2496318.44</v>
      </c>
      <c r="T53" s="34">
        <f t="shared" si="24"/>
        <v>935876.87</v>
      </c>
      <c r="U53" s="34">
        <f t="shared" si="24"/>
        <v>431011.13</v>
      </c>
      <c r="V53" s="34">
        <f t="shared" si="24"/>
        <v>872968.05</v>
      </c>
      <c r="W53" s="34">
        <f t="shared" si="24"/>
        <v>1126628.55</v>
      </c>
      <c r="X53" s="34">
        <f t="shared" si="24"/>
        <v>948373.4</v>
      </c>
      <c r="Y53" s="34">
        <f t="shared" si="24"/>
        <v>754394.95</v>
      </c>
      <c r="Z53" s="34">
        <f t="shared" si="24"/>
        <v>186095.75</v>
      </c>
      <c r="AA53" s="34">
        <f t="shared" si="24"/>
        <v>978296.25</v>
      </c>
      <c r="AB53" s="34">
        <f t="shared" si="24"/>
        <v>176242.95</v>
      </c>
      <c r="AC53" s="34">
        <f t="shared" si="24"/>
        <v>612772.21</v>
      </c>
      <c r="AD53" s="34">
        <f t="shared" si="24"/>
        <v>210477.6</v>
      </c>
      <c r="AE53" s="34">
        <f t="shared" si="24"/>
        <v>682727.25</v>
      </c>
      <c r="AF53" s="34">
        <f t="shared" si="24"/>
        <v>523367.25</v>
      </c>
      <c r="AG53" s="34">
        <f t="shared" si="24"/>
        <v>908985.85</v>
      </c>
      <c r="AH53" s="34">
        <f t="shared" si="24"/>
        <v>1072016.6000000001</v>
      </c>
      <c r="AI53" s="34">
        <f t="shared" si="24"/>
        <v>540529</v>
      </c>
      <c r="AJ53" s="34">
        <f t="shared" si="24"/>
        <v>403969.75</v>
      </c>
      <c r="AK53" s="34">
        <f t="shared" si="24"/>
        <v>273309.55</v>
      </c>
      <c r="AL53" s="34">
        <f t="shared" si="24"/>
        <v>616935.4</v>
      </c>
      <c r="AM53" s="34">
        <f t="shared" si="24"/>
        <v>817600.35</v>
      </c>
      <c r="AN53" s="34">
        <f t="shared" si="24"/>
        <v>117032.05</v>
      </c>
      <c r="AO53" s="34">
        <f t="shared" si="24"/>
        <v>1017207.55</v>
      </c>
      <c r="AP53" s="34">
        <f t="shared" si="24"/>
        <v>586120.1</v>
      </c>
      <c r="AQ53" s="34">
        <f t="shared" si="24"/>
        <v>427020.95</v>
      </c>
      <c r="AR53" s="34">
        <f t="shared" si="24"/>
        <v>525513.80000000005</v>
      </c>
      <c r="AS53" s="34">
        <f t="shared" si="24"/>
        <v>320094.95</v>
      </c>
      <c r="AT53" s="34">
        <f t="shared" si="24"/>
        <v>384148</v>
      </c>
      <c r="AU53" s="34">
        <f t="shared" si="24"/>
        <v>316905.34999999998</v>
      </c>
      <c r="AV53" s="34">
        <f t="shared" si="24"/>
        <v>263721.15000000002</v>
      </c>
      <c r="AW53" s="34">
        <f t="shared" si="24"/>
        <v>381704.25</v>
      </c>
      <c r="AX53" s="34">
        <f t="shared" si="24"/>
        <v>1005066.6</v>
      </c>
      <c r="AY53" s="34">
        <f t="shared" si="24"/>
        <v>735739.25</v>
      </c>
      <c r="AZ53" s="34">
        <f t="shared" si="24"/>
        <v>676402.95</v>
      </c>
      <c r="BA53" s="34">
        <f t="shared" si="24"/>
        <v>3299613.25</v>
      </c>
      <c r="BB53" s="34">
        <f t="shared" si="24"/>
        <v>1534940.85</v>
      </c>
      <c r="BC53" s="34">
        <f t="shared" si="24"/>
        <v>478772.8</v>
      </c>
      <c r="BD53" s="34">
        <f t="shared" si="24"/>
        <v>458207.4</v>
      </c>
      <c r="BE53" s="34">
        <f t="shared" si="24"/>
        <v>505987.45</v>
      </c>
      <c r="BF53" s="34">
        <f t="shared" si="24"/>
        <v>786684.55</v>
      </c>
      <c r="BG53" s="34">
        <f t="shared" si="24"/>
        <v>256596</v>
      </c>
      <c r="BH53" s="34">
        <f t="shared" si="24"/>
        <v>760993.06</v>
      </c>
      <c r="BI53" s="34">
        <f t="shared" si="24"/>
        <v>759097.05</v>
      </c>
      <c r="BJ53" s="34">
        <f t="shared" si="24"/>
        <v>295190.21000000002</v>
      </c>
      <c r="BK53" s="34">
        <f t="shared" si="24"/>
        <v>158356.5</v>
      </c>
      <c r="BL53" s="34">
        <f t="shared" si="24"/>
        <v>1208003.6499999999</v>
      </c>
      <c r="BM53" s="34">
        <f t="shared" si="24"/>
        <v>406374.63</v>
      </c>
      <c r="BN53" s="34">
        <f t="shared" si="24"/>
        <v>944996.3</v>
      </c>
      <c r="BO53" s="34">
        <f t="shared" ref="BO53:BZ53" si="25">BO51-BO52</f>
        <v>1797239.25</v>
      </c>
      <c r="BP53" s="34">
        <f t="shared" si="25"/>
        <v>889151.85</v>
      </c>
      <c r="BQ53" s="34">
        <f t="shared" si="25"/>
        <v>343061.2</v>
      </c>
      <c r="BR53" s="34">
        <f t="shared" si="25"/>
        <v>2543488</v>
      </c>
      <c r="BS53" s="34">
        <f t="shared" si="25"/>
        <v>843476.95</v>
      </c>
      <c r="BT53" s="34">
        <f t="shared" si="25"/>
        <v>361093.25</v>
      </c>
      <c r="BU53" s="34">
        <f t="shared" si="25"/>
        <v>140355.29999999999</v>
      </c>
      <c r="BV53" s="34">
        <f t="shared" si="25"/>
        <v>313785.84999999998</v>
      </c>
      <c r="BW53" s="34">
        <f t="shared" si="25"/>
        <v>2170204.9500000002</v>
      </c>
      <c r="BX53" s="34">
        <f t="shared" si="25"/>
        <v>178326</v>
      </c>
      <c r="BY53" s="34">
        <f t="shared" si="25"/>
        <v>300883.3</v>
      </c>
      <c r="BZ53" s="34">
        <f t="shared" si="25"/>
        <v>1410914.55</v>
      </c>
      <c r="CA53" s="21"/>
      <c r="CB53" s="21"/>
    </row>
    <row r="54" spans="1:80" x14ac:dyDescent="0.2">
      <c r="B54" s="30"/>
      <c r="C54" s="15"/>
    </row>
    <row r="55" spans="1:80" x14ac:dyDescent="0.2">
      <c r="A55" s="35" t="s">
        <v>153</v>
      </c>
      <c r="B55" s="26" t="s">
        <v>3</v>
      </c>
      <c r="C55" s="16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</row>
    <row r="56" spans="1:80" x14ac:dyDescent="0.2">
      <c r="B56" s="30" t="s">
        <v>81</v>
      </c>
      <c r="C56" s="36">
        <f>SUM(D56:BZ56)</f>
        <v>99175891.799999997</v>
      </c>
      <c r="D56" s="9">
        <v>13596151</v>
      </c>
      <c r="E56" s="9">
        <v>1881726</v>
      </c>
      <c r="F56" s="9">
        <v>53156.800000000003</v>
      </c>
      <c r="G56" s="9">
        <v>64589.4</v>
      </c>
      <c r="H56" s="9">
        <v>1799437.35</v>
      </c>
      <c r="I56" s="9">
        <v>2188628.9500000002</v>
      </c>
      <c r="J56" s="9">
        <v>490089.7</v>
      </c>
      <c r="K56" s="9">
        <v>525105.69999999995</v>
      </c>
      <c r="L56" s="9">
        <v>228338.1</v>
      </c>
      <c r="M56" s="9">
        <v>154164.5</v>
      </c>
      <c r="N56" s="9">
        <v>331341.09999999998</v>
      </c>
      <c r="O56" s="9">
        <v>2521587.65</v>
      </c>
      <c r="P56" s="9">
        <v>2743566.6</v>
      </c>
      <c r="Q56" s="9">
        <v>1786321.8</v>
      </c>
      <c r="R56" s="9">
        <v>476803.05</v>
      </c>
      <c r="S56" s="9">
        <v>2042780.4</v>
      </c>
      <c r="T56" s="9">
        <v>2670708.4</v>
      </c>
      <c r="U56" s="9">
        <v>938665.15</v>
      </c>
      <c r="V56" s="9">
        <v>630576.1</v>
      </c>
      <c r="W56" s="9">
        <v>1376880.65</v>
      </c>
      <c r="X56" s="9">
        <v>1939228.4</v>
      </c>
      <c r="Y56" s="9">
        <v>991707.45</v>
      </c>
      <c r="Z56" s="9">
        <v>424399.6</v>
      </c>
      <c r="AA56" s="9">
        <v>3346543.55</v>
      </c>
      <c r="AB56" s="9">
        <v>446742.45</v>
      </c>
      <c r="AC56" s="9">
        <v>1969347.2</v>
      </c>
      <c r="AD56" s="9">
        <v>323070.84999999998</v>
      </c>
      <c r="AE56" s="9">
        <v>1154107</v>
      </c>
      <c r="AF56" s="9">
        <v>863651.55</v>
      </c>
      <c r="AG56" s="9">
        <v>947077</v>
      </c>
      <c r="AH56" s="9">
        <v>2381285.35</v>
      </c>
      <c r="AI56" s="9">
        <v>1270727.1499999999</v>
      </c>
      <c r="AJ56" s="9">
        <v>546994</v>
      </c>
      <c r="AK56" s="9">
        <v>-11345.45</v>
      </c>
      <c r="AL56" s="9">
        <v>655392.69999999995</v>
      </c>
      <c r="AM56" s="9">
        <v>1124026.45</v>
      </c>
      <c r="AN56" s="9">
        <v>96446.25</v>
      </c>
      <c r="AO56" s="9">
        <v>855552.65</v>
      </c>
      <c r="AP56" s="9">
        <v>1018201</v>
      </c>
      <c r="AQ56" s="9">
        <v>698398.5</v>
      </c>
      <c r="AR56" s="9">
        <v>840834.5</v>
      </c>
      <c r="AS56" s="9">
        <v>591625.4</v>
      </c>
      <c r="AT56" s="9">
        <v>283981.84999999998</v>
      </c>
      <c r="AU56" s="9">
        <v>565101.69999999995</v>
      </c>
      <c r="AV56" s="9">
        <v>510141.7</v>
      </c>
      <c r="AW56" s="9">
        <v>460602.35</v>
      </c>
      <c r="AX56" s="9">
        <v>1957048.6</v>
      </c>
      <c r="AY56" s="9">
        <v>925459.3</v>
      </c>
      <c r="AZ56" s="9">
        <v>1016971</v>
      </c>
      <c r="BA56" s="9">
        <v>6687754.8499999996</v>
      </c>
      <c r="BB56" s="9">
        <v>1877787.25</v>
      </c>
      <c r="BC56" s="9">
        <v>760420.8</v>
      </c>
      <c r="BD56" s="9">
        <v>380017.05</v>
      </c>
      <c r="BE56" s="9">
        <v>765289</v>
      </c>
      <c r="BF56" s="9">
        <v>994742.9</v>
      </c>
      <c r="BG56" s="9">
        <v>128838.45</v>
      </c>
      <c r="BH56" s="9">
        <v>1498991.4</v>
      </c>
      <c r="BI56" s="9">
        <v>664548.5</v>
      </c>
      <c r="BJ56" s="9">
        <v>251848.6</v>
      </c>
      <c r="BK56" s="9">
        <v>185190.1</v>
      </c>
      <c r="BL56" s="9">
        <v>1945619.75</v>
      </c>
      <c r="BM56" s="9">
        <v>696468.9</v>
      </c>
      <c r="BN56" s="9">
        <v>766618.75</v>
      </c>
      <c r="BO56" s="9">
        <v>2947426.6</v>
      </c>
      <c r="BP56" s="9">
        <v>665969.80000000005</v>
      </c>
      <c r="BQ56" s="9">
        <v>405335.5</v>
      </c>
      <c r="BR56" s="9">
        <v>4023530.1</v>
      </c>
      <c r="BS56" s="9">
        <v>865661.7</v>
      </c>
      <c r="BT56" s="9">
        <v>928497.25</v>
      </c>
      <c r="BU56" s="9">
        <v>233324.7</v>
      </c>
      <c r="BV56" s="9">
        <v>476330.85</v>
      </c>
      <c r="BW56" s="9">
        <v>3331091.2</v>
      </c>
      <c r="BX56" s="9">
        <v>480755.05</v>
      </c>
      <c r="BY56" s="9">
        <v>447847.6</v>
      </c>
      <c r="BZ56" s="9">
        <v>2072046.7</v>
      </c>
      <c r="CB56" s="3" t="s">
        <v>107</v>
      </c>
    </row>
    <row r="57" spans="1:80" x14ac:dyDescent="0.2">
      <c r="B57" s="30" t="s">
        <v>86</v>
      </c>
      <c r="C57" s="36">
        <f>SUM(D57:BZ57)</f>
        <v>13515.499999999995</v>
      </c>
      <c r="D57" s="9">
        <v>46.7</v>
      </c>
      <c r="E57" s="9">
        <v>0.45</v>
      </c>
      <c r="F57" s="9">
        <v>0</v>
      </c>
      <c r="G57" s="9">
        <v>16.149999999999999</v>
      </c>
      <c r="H57" s="9">
        <v>0</v>
      </c>
      <c r="I57" s="9">
        <v>1.45</v>
      </c>
      <c r="J57" s="9">
        <v>10.25</v>
      </c>
      <c r="K57" s="9">
        <v>0</v>
      </c>
      <c r="L57" s="9">
        <v>1.5</v>
      </c>
      <c r="M57" s="9">
        <v>0</v>
      </c>
      <c r="N57" s="9">
        <v>0</v>
      </c>
      <c r="O57" s="9">
        <v>3.25</v>
      </c>
      <c r="P57" s="9">
        <v>5.25</v>
      </c>
      <c r="Q57" s="9">
        <v>36.15</v>
      </c>
      <c r="R57" s="9">
        <v>357.55</v>
      </c>
      <c r="S57" s="9">
        <v>24.15</v>
      </c>
      <c r="T57" s="9">
        <v>25.2</v>
      </c>
      <c r="U57" s="9">
        <v>3.05</v>
      </c>
      <c r="V57" s="9">
        <v>13.15</v>
      </c>
      <c r="W57" s="9">
        <v>1</v>
      </c>
      <c r="X57" s="9">
        <v>35.4</v>
      </c>
      <c r="Y57" s="9">
        <v>0</v>
      </c>
      <c r="Z57" s="9">
        <v>8.65</v>
      </c>
      <c r="AA57" s="9">
        <v>-38.65</v>
      </c>
      <c r="AB57" s="9">
        <v>9.15</v>
      </c>
      <c r="AC57" s="9">
        <v>3.85</v>
      </c>
      <c r="AD57" s="9">
        <v>6.95</v>
      </c>
      <c r="AE57" s="9">
        <v>14.3</v>
      </c>
      <c r="AF57" s="9">
        <v>0.35</v>
      </c>
      <c r="AG57" s="9">
        <v>14.95</v>
      </c>
      <c r="AH57" s="9">
        <v>18.899999999999999</v>
      </c>
      <c r="AI57" s="9">
        <v>3.5</v>
      </c>
      <c r="AJ57" s="9">
        <v>0</v>
      </c>
      <c r="AK57" s="9">
        <v>39.200000000000003</v>
      </c>
      <c r="AL57" s="9">
        <v>33.75</v>
      </c>
      <c r="AM57" s="9">
        <v>20.7</v>
      </c>
      <c r="AN57" s="9">
        <v>2.35</v>
      </c>
      <c r="AO57" s="9">
        <v>39.049999999999997</v>
      </c>
      <c r="AP57" s="9">
        <v>37.950000000000003</v>
      </c>
      <c r="AQ57" s="9">
        <v>14.45</v>
      </c>
      <c r="AR57" s="9">
        <v>4.3499999999999996</v>
      </c>
      <c r="AS57" s="9">
        <v>4.5</v>
      </c>
      <c r="AT57" s="9">
        <v>0</v>
      </c>
      <c r="AU57" s="9">
        <v>2.85</v>
      </c>
      <c r="AV57" s="9">
        <v>0</v>
      </c>
      <c r="AW57" s="9">
        <v>0</v>
      </c>
      <c r="AX57" s="9">
        <v>13.6</v>
      </c>
      <c r="AY57" s="9">
        <v>0.3</v>
      </c>
      <c r="AZ57" s="9">
        <v>22.85</v>
      </c>
      <c r="BA57" s="9">
        <v>4912.7999999999993</v>
      </c>
      <c r="BB57" s="9">
        <v>384.70000000000005</v>
      </c>
      <c r="BC57" s="9">
        <v>27.4</v>
      </c>
      <c r="BD57" s="9">
        <v>19.600000000000001</v>
      </c>
      <c r="BE57" s="9">
        <v>7091.6</v>
      </c>
      <c r="BF57" s="9">
        <v>28.35</v>
      </c>
      <c r="BG57" s="9">
        <v>13.3</v>
      </c>
      <c r="BH57" s="9">
        <v>15.65</v>
      </c>
      <c r="BI57" s="9">
        <v>8.9499999999999993</v>
      </c>
      <c r="BJ57" s="9">
        <v>19.399999999999999</v>
      </c>
      <c r="BK57" s="9">
        <v>0</v>
      </c>
      <c r="BL57" s="9">
        <v>19.899999999999999</v>
      </c>
      <c r="BM57" s="9">
        <v>0</v>
      </c>
      <c r="BN57" s="9">
        <v>4</v>
      </c>
      <c r="BO57" s="9">
        <v>11.05</v>
      </c>
      <c r="BP57" s="9">
        <v>1.45</v>
      </c>
      <c r="BQ57" s="9">
        <v>0</v>
      </c>
      <c r="BR57" s="9">
        <v>16.549999999999997</v>
      </c>
      <c r="BS57" s="9">
        <v>0.05</v>
      </c>
      <c r="BT57" s="9">
        <v>0</v>
      </c>
      <c r="BU57" s="9">
        <v>0</v>
      </c>
      <c r="BV57" s="9">
        <v>9.9</v>
      </c>
      <c r="BW57" s="9">
        <v>63.4</v>
      </c>
      <c r="BX57" s="9">
        <v>0</v>
      </c>
      <c r="BY57" s="9">
        <v>3.4</v>
      </c>
      <c r="BZ57" s="9">
        <v>5.55</v>
      </c>
      <c r="CB57" s="3" t="s">
        <v>107</v>
      </c>
    </row>
    <row r="58" spans="1:80" s="32" customFormat="1" x14ac:dyDescent="0.2">
      <c r="A58" s="21"/>
      <c r="B58" s="32" t="s">
        <v>90</v>
      </c>
      <c r="C58" s="15">
        <f>SUM(D58:BZ58)</f>
        <v>99162376.300000027</v>
      </c>
      <c r="D58" s="42">
        <f>D56-D57</f>
        <v>13596104.300000001</v>
      </c>
      <c r="E58" s="42">
        <f t="shared" ref="E58:BN58" si="26">E56-E57</f>
        <v>1881725.55</v>
      </c>
      <c r="F58" s="42">
        <f t="shared" si="26"/>
        <v>53156.800000000003</v>
      </c>
      <c r="G58" s="42">
        <f t="shared" si="26"/>
        <v>64573.25</v>
      </c>
      <c r="H58" s="42">
        <f t="shared" si="26"/>
        <v>1799437.35</v>
      </c>
      <c r="I58" s="42">
        <f t="shared" si="26"/>
        <v>2188627.5</v>
      </c>
      <c r="J58" s="42">
        <f t="shared" si="26"/>
        <v>490079.45</v>
      </c>
      <c r="K58" s="42">
        <f t="shared" si="26"/>
        <v>525105.69999999995</v>
      </c>
      <c r="L58" s="42">
        <f t="shared" si="26"/>
        <v>228336.6</v>
      </c>
      <c r="M58" s="42">
        <f t="shared" si="26"/>
        <v>154164.5</v>
      </c>
      <c r="N58" s="42">
        <f t="shared" si="26"/>
        <v>331341.09999999998</v>
      </c>
      <c r="O58" s="42">
        <f t="shared" si="26"/>
        <v>2521584.4</v>
      </c>
      <c r="P58" s="42">
        <f t="shared" si="26"/>
        <v>2743561.35</v>
      </c>
      <c r="Q58" s="42">
        <f t="shared" si="26"/>
        <v>1786285.6500000001</v>
      </c>
      <c r="R58" s="42">
        <f t="shared" si="26"/>
        <v>476445.5</v>
      </c>
      <c r="S58" s="42">
        <f t="shared" si="26"/>
        <v>2042756.25</v>
      </c>
      <c r="T58" s="42">
        <f t="shared" si="26"/>
        <v>2670683.1999999997</v>
      </c>
      <c r="U58" s="42">
        <f t="shared" si="26"/>
        <v>938662.1</v>
      </c>
      <c r="V58" s="42">
        <f t="shared" si="26"/>
        <v>630562.94999999995</v>
      </c>
      <c r="W58" s="42">
        <f t="shared" si="26"/>
        <v>1376879.65</v>
      </c>
      <c r="X58" s="42">
        <f t="shared" si="26"/>
        <v>1939193</v>
      </c>
      <c r="Y58" s="42">
        <f t="shared" si="26"/>
        <v>991707.45</v>
      </c>
      <c r="Z58" s="42">
        <f t="shared" si="26"/>
        <v>424390.94999999995</v>
      </c>
      <c r="AA58" s="42">
        <f t="shared" si="26"/>
        <v>3346582.1999999997</v>
      </c>
      <c r="AB58" s="42">
        <f t="shared" si="26"/>
        <v>446733.3</v>
      </c>
      <c r="AC58" s="42">
        <f t="shared" si="26"/>
        <v>1969343.3499999999</v>
      </c>
      <c r="AD58" s="42">
        <f t="shared" si="26"/>
        <v>323063.89999999997</v>
      </c>
      <c r="AE58" s="42">
        <f t="shared" si="26"/>
        <v>1154092.7</v>
      </c>
      <c r="AF58" s="42">
        <f t="shared" si="26"/>
        <v>863651.20000000007</v>
      </c>
      <c r="AG58" s="42">
        <f t="shared" si="26"/>
        <v>947062.05</v>
      </c>
      <c r="AH58" s="42">
        <f t="shared" si="26"/>
        <v>2381266.4500000002</v>
      </c>
      <c r="AI58" s="42">
        <f t="shared" si="26"/>
        <v>1270723.6499999999</v>
      </c>
      <c r="AJ58" s="42">
        <f t="shared" si="26"/>
        <v>546994</v>
      </c>
      <c r="AK58" s="42">
        <f t="shared" si="26"/>
        <v>-11384.650000000001</v>
      </c>
      <c r="AL58" s="42">
        <f t="shared" si="26"/>
        <v>655358.94999999995</v>
      </c>
      <c r="AM58" s="42">
        <f t="shared" si="26"/>
        <v>1124005.75</v>
      </c>
      <c r="AN58" s="42">
        <f t="shared" si="26"/>
        <v>96443.9</v>
      </c>
      <c r="AO58" s="42">
        <f t="shared" si="26"/>
        <v>855513.59999999998</v>
      </c>
      <c r="AP58" s="42">
        <f t="shared" si="26"/>
        <v>1018163.05</v>
      </c>
      <c r="AQ58" s="42">
        <f t="shared" si="26"/>
        <v>698384.05</v>
      </c>
      <c r="AR58" s="42">
        <f t="shared" si="26"/>
        <v>840830.15</v>
      </c>
      <c r="AS58" s="42">
        <f t="shared" si="26"/>
        <v>591620.9</v>
      </c>
      <c r="AT58" s="42">
        <f t="shared" si="26"/>
        <v>283981.84999999998</v>
      </c>
      <c r="AU58" s="42">
        <f t="shared" si="26"/>
        <v>565098.85</v>
      </c>
      <c r="AV58" s="42">
        <f t="shared" si="26"/>
        <v>510141.7</v>
      </c>
      <c r="AW58" s="42">
        <f t="shared" si="26"/>
        <v>460602.35</v>
      </c>
      <c r="AX58" s="42">
        <f t="shared" si="26"/>
        <v>1957035</v>
      </c>
      <c r="AY58" s="42">
        <f t="shared" si="26"/>
        <v>925459</v>
      </c>
      <c r="AZ58" s="42">
        <f t="shared" si="26"/>
        <v>1016948.15</v>
      </c>
      <c r="BA58" s="42">
        <f t="shared" si="26"/>
        <v>6682842.0499999998</v>
      </c>
      <c r="BB58" s="42">
        <f t="shared" si="26"/>
        <v>1877402.55</v>
      </c>
      <c r="BC58" s="42">
        <f t="shared" si="26"/>
        <v>760393.4</v>
      </c>
      <c r="BD58" s="42">
        <f t="shared" si="26"/>
        <v>379997.45</v>
      </c>
      <c r="BE58" s="42">
        <f t="shared" si="26"/>
        <v>758197.4</v>
      </c>
      <c r="BF58" s="42">
        <f t="shared" si="26"/>
        <v>994714.55</v>
      </c>
      <c r="BG58" s="42">
        <f t="shared" si="26"/>
        <v>128825.15</v>
      </c>
      <c r="BH58" s="42">
        <f t="shared" si="26"/>
        <v>1498975.75</v>
      </c>
      <c r="BI58" s="42">
        <f t="shared" si="26"/>
        <v>664539.55000000005</v>
      </c>
      <c r="BJ58" s="42">
        <f t="shared" si="26"/>
        <v>251829.2</v>
      </c>
      <c r="BK58" s="42">
        <f t="shared" si="26"/>
        <v>185190.1</v>
      </c>
      <c r="BL58" s="42">
        <f t="shared" si="26"/>
        <v>1945599.85</v>
      </c>
      <c r="BM58" s="42">
        <f t="shared" si="26"/>
        <v>696468.9</v>
      </c>
      <c r="BN58" s="42">
        <f t="shared" si="26"/>
        <v>766614.75</v>
      </c>
      <c r="BO58" s="42">
        <f t="shared" ref="BO58:BZ58" si="27">BO56-BO57</f>
        <v>2947415.5500000003</v>
      </c>
      <c r="BP58" s="42">
        <f t="shared" si="27"/>
        <v>665968.35000000009</v>
      </c>
      <c r="BQ58" s="42">
        <f t="shared" si="27"/>
        <v>405335.5</v>
      </c>
      <c r="BR58" s="42">
        <f t="shared" si="27"/>
        <v>4023513.5500000003</v>
      </c>
      <c r="BS58" s="42">
        <f t="shared" si="27"/>
        <v>865661.64999999991</v>
      </c>
      <c r="BT58" s="42">
        <f t="shared" si="27"/>
        <v>928497.25</v>
      </c>
      <c r="BU58" s="42">
        <f t="shared" si="27"/>
        <v>233324.7</v>
      </c>
      <c r="BV58" s="42">
        <f t="shared" si="27"/>
        <v>476320.94999999995</v>
      </c>
      <c r="BW58" s="42">
        <f t="shared" si="27"/>
        <v>3331027.8000000003</v>
      </c>
      <c r="BX58" s="42">
        <f t="shared" si="27"/>
        <v>480755.05</v>
      </c>
      <c r="BY58" s="42">
        <f t="shared" si="27"/>
        <v>447844.19999999995</v>
      </c>
      <c r="BZ58" s="42">
        <f t="shared" si="27"/>
        <v>2072041.15</v>
      </c>
      <c r="CA58" s="21"/>
      <c r="CB58" s="21"/>
    </row>
    <row r="59" spans="1:80" x14ac:dyDescent="0.2">
      <c r="B59" s="30"/>
      <c r="C59" s="33"/>
    </row>
    <row r="60" spans="1:80" x14ac:dyDescent="0.2">
      <c r="B60" s="24"/>
      <c r="C60" s="24"/>
      <c r="F60" s="2"/>
      <c r="G60" s="2"/>
      <c r="H60" s="2"/>
      <c r="I60" s="2"/>
    </row>
    <row r="61" spans="1:80" s="56" customFormat="1" ht="15.75" x14ac:dyDescent="0.25">
      <c r="A61" s="22" t="s">
        <v>98</v>
      </c>
      <c r="B61" s="23" t="s">
        <v>239</v>
      </c>
      <c r="C61" s="7"/>
      <c r="D61" s="7"/>
      <c r="E61" s="7"/>
      <c r="F61" s="8"/>
      <c r="G61" s="8"/>
      <c r="H61" s="8"/>
      <c r="I61" s="8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</row>
    <row r="62" spans="1:80" x14ac:dyDescent="0.2">
      <c r="B62" s="24"/>
      <c r="C62" s="36"/>
      <c r="D62" s="5"/>
      <c r="E62" s="5"/>
      <c r="F62" s="1"/>
      <c r="G62" s="1"/>
      <c r="H62" s="1"/>
      <c r="I62" s="1"/>
      <c r="J62" s="1"/>
      <c r="K62" s="1"/>
      <c r="L62" s="1"/>
      <c r="M62" s="1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80" x14ac:dyDescent="0.2">
      <c r="A63" s="35" t="s">
        <v>128</v>
      </c>
      <c r="B63" s="26" t="s">
        <v>4</v>
      </c>
      <c r="C63" s="37"/>
      <c r="D63" s="13"/>
      <c r="E63" s="13"/>
      <c r="F63" s="14"/>
      <c r="G63" s="14"/>
      <c r="H63" s="14"/>
      <c r="I63" s="14"/>
      <c r="J63" s="14"/>
      <c r="K63" s="14"/>
      <c r="L63" s="14"/>
      <c r="M63" s="14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35"/>
      <c r="CB63" s="35"/>
    </row>
    <row r="64" spans="1:80" x14ac:dyDescent="0.2">
      <c r="B64" s="28" t="s">
        <v>88</v>
      </c>
      <c r="C64" s="43">
        <f>C70/C68</f>
        <v>1.1484069232492122</v>
      </c>
      <c r="D64" s="10">
        <v>1.41</v>
      </c>
      <c r="E64" s="10">
        <v>1.33</v>
      </c>
      <c r="F64" s="11">
        <v>1.19</v>
      </c>
      <c r="G64" s="11">
        <v>1.29</v>
      </c>
      <c r="H64" s="11">
        <v>0.75</v>
      </c>
      <c r="I64" s="11">
        <v>0.98</v>
      </c>
      <c r="J64" s="11">
        <v>1.1499999999999999</v>
      </c>
      <c r="K64" s="11">
        <v>1.36</v>
      </c>
      <c r="L64" s="11">
        <v>0.82</v>
      </c>
      <c r="M64" s="11">
        <v>1.19</v>
      </c>
      <c r="N64" s="10">
        <v>1.25</v>
      </c>
      <c r="O64" s="10">
        <v>0.96</v>
      </c>
      <c r="P64" s="10">
        <v>1.34</v>
      </c>
      <c r="Q64" s="10">
        <v>0.89</v>
      </c>
      <c r="R64" s="10">
        <v>1.19</v>
      </c>
      <c r="S64" s="10">
        <v>1.1399999999999999</v>
      </c>
      <c r="T64" s="10">
        <v>0.87</v>
      </c>
      <c r="U64" s="10">
        <v>0.97</v>
      </c>
      <c r="V64" s="10">
        <v>0.72</v>
      </c>
      <c r="W64" s="10">
        <v>0.89</v>
      </c>
      <c r="X64" s="10">
        <v>0.76</v>
      </c>
      <c r="Y64" s="10">
        <v>1.0900000000000001</v>
      </c>
      <c r="Z64" s="10">
        <v>1.1499999999999999</v>
      </c>
      <c r="AA64" s="10">
        <v>1.22</v>
      </c>
      <c r="AB64" s="10">
        <v>1.19</v>
      </c>
      <c r="AC64" s="10">
        <v>1.02</v>
      </c>
      <c r="AD64" s="10">
        <v>1.19</v>
      </c>
      <c r="AE64" s="10">
        <v>0.88</v>
      </c>
      <c r="AF64" s="10">
        <v>1.25</v>
      </c>
      <c r="AG64" s="10">
        <v>1.1000000000000001</v>
      </c>
      <c r="AH64" s="10">
        <v>1.18</v>
      </c>
      <c r="AI64" s="10">
        <v>1.1000000000000001</v>
      </c>
      <c r="AJ64" s="10">
        <v>1.6</v>
      </c>
      <c r="AK64" s="10">
        <v>1.42</v>
      </c>
      <c r="AL64" s="10">
        <v>1.29</v>
      </c>
      <c r="AM64" s="10">
        <v>0.92</v>
      </c>
      <c r="AN64" s="10">
        <v>1.45</v>
      </c>
      <c r="AO64" s="10">
        <v>1.33</v>
      </c>
      <c r="AP64" s="10">
        <v>1.3</v>
      </c>
      <c r="AQ64" s="10">
        <v>1.1499999999999999</v>
      </c>
      <c r="AR64" s="10">
        <v>1.1499999999999999</v>
      </c>
      <c r="AS64" s="10">
        <v>1.2</v>
      </c>
      <c r="AT64" s="10">
        <v>1.1499999999999999</v>
      </c>
      <c r="AU64" s="10">
        <v>1.25</v>
      </c>
      <c r="AV64" s="10">
        <v>1.3</v>
      </c>
      <c r="AW64" s="10">
        <v>1.06</v>
      </c>
      <c r="AX64" s="10">
        <v>1.1599999999999999</v>
      </c>
      <c r="AY64" s="10">
        <v>1.18</v>
      </c>
      <c r="AZ64" s="10">
        <v>1.1599999999999999</v>
      </c>
      <c r="BA64" s="10">
        <v>0.76</v>
      </c>
      <c r="BB64" s="10">
        <v>1.21</v>
      </c>
      <c r="BC64" s="10">
        <v>1.28</v>
      </c>
      <c r="BD64" s="10">
        <v>1.25</v>
      </c>
      <c r="BE64" s="10">
        <v>1.39</v>
      </c>
      <c r="BF64" s="10">
        <v>1.32</v>
      </c>
      <c r="BG64" s="10">
        <v>1.37</v>
      </c>
      <c r="BH64" s="10">
        <v>1.3342244678228068</v>
      </c>
      <c r="BI64" s="10">
        <v>1.29</v>
      </c>
      <c r="BJ64" s="10">
        <v>1.25</v>
      </c>
      <c r="BK64" s="10">
        <v>1.37</v>
      </c>
      <c r="BL64" s="10">
        <v>1.33</v>
      </c>
      <c r="BM64" s="10">
        <v>1.27</v>
      </c>
      <c r="BN64" s="10">
        <v>1.25</v>
      </c>
      <c r="BO64" s="10">
        <v>1.33</v>
      </c>
      <c r="BP64" s="10">
        <v>1.33</v>
      </c>
      <c r="BQ64" s="10">
        <v>1.56</v>
      </c>
      <c r="BR64" s="10">
        <v>1.18</v>
      </c>
      <c r="BS64" s="10">
        <v>0.82</v>
      </c>
      <c r="BT64" s="10">
        <v>1</v>
      </c>
      <c r="BU64" s="10">
        <v>1.29</v>
      </c>
      <c r="BV64" s="10">
        <v>1.1399999999999999</v>
      </c>
      <c r="BW64" s="10">
        <v>1.1599999999999999</v>
      </c>
      <c r="BX64" s="10">
        <v>1.18</v>
      </c>
      <c r="BY64" s="10">
        <v>1.22</v>
      </c>
      <c r="BZ64" s="10">
        <v>1.07</v>
      </c>
      <c r="CB64" s="3" t="s">
        <v>107</v>
      </c>
    </row>
    <row r="65" spans="1:80" x14ac:dyDescent="0.2">
      <c r="A65" s="38"/>
      <c r="B65" s="31"/>
      <c r="C65" s="36"/>
      <c r="D65" s="5"/>
      <c r="E65" s="5"/>
      <c r="F65" s="1"/>
      <c r="G65" s="1"/>
      <c r="H65" s="1"/>
      <c r="I65" s="1"/>
      <c r="J65" s="1"/>
      <c r="K65" s="1"/>
      <c r="L65" s="1"/>
      <c r="M65" s="1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38"/>
      <c r="CB65" s="32"/>
    </row>
    <row r="66" spans="1:80" x14ac:dyDescent="0.2">
      <c r="B66" s="33" t="s">
        <v>94</v>
      </c>
      <c r="C66" s="36">
        <f>SUM(D66:BZ66)</f>
        <v>1152235037.3200002</v>
      </c>
      <c r="D66" s="44">
        <v>173424134.99999997</v>
      </c>
      <c r="E66" s="44">
        <v>18656668.969999999</v>
      </c>
      <c r="F66" s="44">
        <v>2899848.45</v>
      </c>
      <c r="G66" s="44">
        <v>2370631.7500000005</v>
      </c>
      <c r="H66" s="44">
        <v>15838094.34</v>
      </c>
      <c r="I66" s="44">
        <v>22303155.039999999</v>
      </c>
      <c r="J66" s="44">
        <v>7801820.5899999999</v>
      </c>
      <c r="K66" s="44">
        <v>2677001.37</v>
      </c>
      <c r="L66" s="44">
        <v>4684357.3900000006</v>
      </c>
      <c r="M66" s="44">
        <v>2432376.8099999996</v>
      </c>
      <c r="N66" s="44">
        <v>5094317.79</v>
      </c>
      <c r="O66" s="44">
        <v>18603407.379999999</v>
      </c>
      <c r="P66" s="44">
        <v>15369651.34</v>
      </c>
      <c r="Q66" s="44">
        <v>17585765.07</v>
      </c>
      <c r="R66" s="44">
        <v>7978337.6100000013</v>
      </c>
      <c r="S66" s="44">
        <v>9342313.0999999996</v>
      </c>
      <c r="T66" s="44">
        <v>17870839.34</v>
      </c>
      <c r="U66" s="44">
        <v>11602398.58</v>
      </c>
      <c r="V66" s="44">
        <v>17097977.729999997</v>
      </c>
      <c r="W66" s="44">
        <v>14558180.359999999</v>
      </c>
      <c r="X66" s="44">
        <v>22020663.559999999</v>
      </c>
      <c r="Y66" s="44">
        <v>9292611.6699999999</v>
      </c>
      <c r="Z66" s="44">
        <v>4581517.87</v>
      </c>
      <c r="AA66" s="44">
        <v>25584670.449999999</v>
      </c>
      <c r="AB66" s="44">
        <v>2940331.0100000002</v>
      </c>
      <c r="AC66" s="44">
        <v>17781885.629999999</v>
      </c>
      <c r="AD66" s="44">
        <v>4066660.29</v>
      </c>
      <c r="AE66" s="44">
        <v>11873865</v>
      </c>
      <c r="AF66" s="44">
        <v>7011738.0899999999</v>
      </c>
      <c r="AG66" s="44">
        <v>14672770.649999999</v>
      </c>
      <c r="AH66" s="44">
        <v>26806404.609999999</v>
      </c>
      <c r="AI66" s="44">
        <v>9283375.8699999992</v>
      </c>
      <c r="AJ66" s="44">
        <v>9031256.75</v>
      </c>
      <c r="AK66" s="44">
        <v>12550466.060000001</v>
      </c>
      <c r="AL66" s="44">
        <v>8974753.209999999</v>
      </c>
      <c r="AM66" s="44">
        <v>15381683.039999999</v>
      </c>
      <c r="AN66" s="44">
        <v>2504075.25</v>
      </c>
      <c r="AO66" s="44">
        <v>16465874.699999999</v>
      </c>
      <c r="AP66" s="44">
        <v>8617708.3499999996</v>
      </c>
      <c r="AQ66" s="44">
        <v>12019740.570000002</v>
      </c>
      <c r="AR66" s="44">
        <v>6218555.0899999999</v>
      </c>
      <c r="AS66" s="44">
        <v>5073262.9600000009</v>
      </c>
      <c r="AT66" s="44">
        <v>4624341.03</v>
      </c>
      <c r="AU66" s="44">
        <v>6739884.5899999999</v>
      </c>
      <c r="AV66" s="44">
        <v>5406270.7999999998</v>
      </c>
      <c r="AW66" s="44">
        <v>9564533.290000001</v>
      </c>
      <c r="AX66" s="44">
        <v>13026893.58</v>
      </c>
      <c r="AY66" s="44">
        <v>12608627.640000001</v>
      </c>
      <c r="AZ66" s="44">
        <v>9329677.9300000016</v>
      </c>
      <c r="BA66" s="44">
        <v>100666668.59999999</v>
      </c>
      <c r="BB66" s="44">
        <v>20466196.099999998</v>
      </c>
      <c r="BC66" s="44">
        <v>5304336.6899999995</v>
      </c>
      <c r="BD66" s="44">
        <v>6384207.8499999996</v>
      </c>
      <c r="BE66" s="44">
        <v>8378094.75</v>
      </c>
      <c r="BF66" s="44">
        <v>15389340.549999999</v>
      </c>
      <c r="BG66" s="44">
        <v>3546140.38</v>
      </c>
      <c r="BH66" s="44">
        <v>9368083.1099999994</v>
      </c>
      <c r="BI66" s="44">
        <v>9088524.6400000006</v>
      </c>
      <c r="BJ66" s="44">
        <v>2803059.73</v>
      </c>
      <c r="BK66" s="44">
        <v>4684586.1400000006</v>
      </c>
      <c r="BL66" s="44">
        <v>17213115.75</v>
      </c>
      <c r="BM66" s="44">
        <v>7917278.3200000003</v>
      </c>
      <c r="BN66" s="44">
        <v>13685083.84</v>
      </c>
      <c r="BO66" s="44">
        <v>25357876.419999998</v>
      </c>
      <c r="BP66" s="44">
        <v>19992188.189999998</v>
      </c>
      <c r="BQ66" s="44">
        <v>6345365.7600000007</v>
      </c>
      <c r="BR66" s="44">
        <v>59422158.579999998</v>
      </c>
      <c r="BS66" s="44">
        <v>14927233.370000001</v>
      </c>
      <c r="BT66" s="44">
        <v>11425676.99</v>
      </c>
      <c r="BU66" s="44">
        <v>3186778.81</v>
      </c>
      <c r="BV66" s="44">
        <v>6593865.46</v>
      </c>
      <c r="BW66" s="44">
        <v>41463993.969999999</v>
      </c>
      <c r="BX66" s="44">
        <v>4816675.4000000004</v>
      </c>
      <c r="BY66" s="44">
        <v>7212965.2800000003</v>
      </c>
      <c r="BZ66" s="44">
        <v>24350165.09</v>
      </c>
      <c r="CB66" s="3" t="s">
        <v>107</v>
      </c>
    </row>
    <row r="67" spans="1:80" x14ac:dyDescent="0.2">
      <c r="B67" s="33" t="s">
        <v>86</v>
      </c>
      <c r="C67" s="36">
        <f>SUM(D67:BZ67)</f>
        <v>5141509.556629343</v>
      </c>
      <c r="D67" s="44">
        <v>974593.499836548</v>
      </c>
      <c r="E67" s="44">
        <v>145173.20183066363</v>
      </c>
      <c r="F67" s="44">
        <v>-2236.7739130434784</v>
      </c>
      <c r="G67" s="44">
        <v>157.07826086956493</v>
      </c>
      <c r="H67" s="44">
        <v>-8964.7999999999993</v>
      </c>
      <c r="I67" s="44">
        <v>83688.513675493086</v>
      </c>
      <c r="J67" s="44">
        <v>48001.382608695647</v>
      </c>
      <c r="K67" s="44">
        <v>6711.2521739130425</v>
      </c>
      <c r="L67" s="44">
        <v>10150.565217391306</v>
      </c>
      <c r="M67" s="44">
        <v>-178.18611746758233</v>
      </c>
      <c r="N67" s="44">
        <v>6688.6608695652167</v>
      </c>
      <c r="O67" s="44">
        <v>50301.226522828794</v>
      </c>
      <c r="P67" s="44">
        <v>261441.16839925904</v>
      </c>
      <c r="Q67" s="44">
        <v>33622.260346518466</v>
      </c>
      <c r="R67" s="44">
        <v>97468.983763757235</v>
      </c>
      <c r="S67" s="44">
        <v>125342.25583524026</v>
      </c>
      <c r="T67" s="44">
        <v>142570.8407322655</v>
      </c>
      <c r="U67" s="44">
        <v>24002.819461697723</v>
      </c>
      <c r="V67" s="44">
        <v>12584.81739130435</v>
      </c>
      <c r="W67" s="44">
        <v>66382.743728887421</v>
      </c>
      <c r="X67" s="44">
        <v>148068.78642257815</v>
      </c>
      <c r="Y67" s="44">
        <v>86050.078260869559</v>
      </c>
      <c r="Z67" s="44">
        <v>10781.052173913042</v>
      </c>
      <c r="AA67" s="44">
        <v>161486.93084886129</v>
      </c>
      <c r="AB67" s="44">
        <v>24755.3876430206</v>
      </c>
      <c r="AC67" s="44">
        <v>42984.620594965672</v>
      </c>
      <c r="AD67" s="44">
        <v>27421.339130434775</v>
      </c>
      <c r="AE67" s="44">
        <v>68805.142443064193</v>
      </c>
      <c r="AF67" s="44">
        <v>13134.665838509314</v>
      </c>
      <c r="AG67" s="44">
        <v>22512.026958701099</v>
      </c>
      <c r="AH67" s="44">
        <v>95751.431513566524</v>
      </c>
      <c r="AI67" s="44">
        <v>45220.016977225685</v>
      </c>
      <c r="AJ67" s="44">
        <v>67435.770992699137</v>
      </c>
      <c r="AK67" s="44">
        <v>102328.95362318841</v>
      </c>
      <c r="AL67" s="44">
        <v>34513.199171842651</v>
      </c>
      <c r="AM67" s="44">
        <v>90158.304347826095</v>
      </c>
      <c r="AN67" s="44">
        <v>15775.860869565218</v>
      </c>
      <c r="AO67" s="44">
        <v>81489.33470633105</v>
      </c>
      <c r="AP67" s="44">
        <v>127916.442737278</v>
      </c>
      <c r="AQ67" s="44">
        <v>63197.170665794933</v>
      </c>
      <c r="AR67" s="44">
        <v>20913.511038465727</v>
      </c>
      <c r="AS67" s="44">
        <v>-15304.904347826085</v>
      </c>
      <c r="AT67" s="44">
        <v>11473.626086956523</v>
      </c>
      <c r="AU67" s="44">
        <v>41398.913043478256</v>
      </c>
      <c r="AV67" s="44">
        <v>26322.121739130438</v>
      </c>
      <c r="AW67" s="44">
        <v>13498.459627329197</v>
      </c>
      <c r="AX67" s="44">
        <v>44448.248512585815</v>
      </c>
      <c r="AY67" s="44">
        <v>100034.76338672767</v>
      </c>
      <c r="AZ67" s="44">
        <v>237758.56975046315</v>
      </c>
      <c r="BA67" s="44">
        <v>187231.98903781193</v>
      </c>
      <c r="BB67" s="44">
        <v>30881.201830663613</v>
      </c>
      <c r="BC67" s="44">
        <v>43495.686956521735</v>
      </c>
      <c r="BD67" s="44">
        <v>36583.026086956525</v>
      </c>
      <c r="BE67" s="44">
        <v>46091.252173913039</v>
      </c>
      <c r="BF67" s="44">
        <v>127231.00723548001</v>
      </c>
      <c r="BG67" s="44">
        <v>28768.797733464104</v>
      </c>
      <c r="BH67" s="44">
        <v>110768.91171406777</v>
      </c>
      <c r="BI67" s="44">
        <v>41651.76064073226</v>
      </c>
      <c r="BJ67" s="44">
        <v>-1033.3739130434769</v>
      </c>
      <c r="BK67" s="44">
        <v>10721.971690094804</v>
      </c>
      <c r="BL67" s="44">
        <v>68840.082815735004</v>
      </c>
      <c r="BM67" s="44">
        <v>80251.697482837539</v>
      </c>
      <c r="BN67" s="44">
        <v>65004.214318404702</v>
      </c>
      <c r="BO67" s="44">
        <v>-431643.48371063505</v>
      </c>
      <c r="BP67" s="44">
        <v>62922.82090007628</v>
      </c>
      <c r="BQ67" s="44">
        <v>47549.124768442845</v>
      </c>
      <c r="BR67" s="44">
        <v>419375.36918382905</v>
      </c>
      <c r="BS67" s="44">
        <v>18006.434782608696</v>
      </c>
      <c r="BT67" s="44">
        <v>41226.504347826092</v>
      </c>
      <c r="BU67" s="44">
        <v>-2188.8260869565215</v>
      </c>
      <c r="BV67" s="44">
        <v>5075.3739130434806</v>
      </c>
      <c r="BW67" s="44">
        <v>115482.79588100685</v>
      </c>
      <c r="BX67" s="44">
        <v>3130.9565217391309</v>
      </c>
      <c r="BY67" s="44">
        <v>9712.652173913044</v>
      </c>
      <c r="BZ67" s="44">
        <v>88540.272768878742</v>
      </c>
      <c r="CB67" s="3" t="s">
        <v>107</v>
      </c>
    </row>
    <row r="68" spans="1:80" x14ac:dyDescent="0.2">
      <c r="B68" s="33" t="s">
        <v>95</v>
      </c>
      <c r="C68" s="36">
        <f>SUM(D68:BZ68)</f>
        <v>1147093527.7633705</v>
      </c>
      <c r="D68" s="5">
        <f>D66-D67</f>
        <v>172449541.50016344</v>
      </c>
      <c r="E68" s="5">
        <f t="shared" ref="E68:BN68" si="28">E66-E67</f>
        <v>18511495.768169336</v>
      </c>
      <c r="F68" s="5">
        <f t="shared" si="28"/>
        <v>2902085.2239130437</v>
      </c>
      <c r="G68" s="5">
        <f t="shared" si="28"/>
        <v>2370474.6717391307</v>
      </c>
      <c r="H68" s="5">
        <f t="shared" si="28"/>
        <v>15847059.140000001</v>
      </c>
      <c r="I68" s="5">
        <f t="shared" si="28"/>
        <v>22219466.526324507</v>
      </c>
      <c r="J68" s="5">
        <f t="shared" si="28"/>
        <v>7753819.207391304</v>
      </c>
      <c r="K68" s="5">
        <f t="shared" si="28"/>
        <v>2670290.1178260869</v>
      </c>
      <c r="L68" s="5">
        <f t="shared" si="28"/>
        <v>4674206.824782609</v>
      </c>
      <c r="M68" s="5">
        <f t="shared" si="28"/>
        <v>2432554.9961174671</v>
      </c>
      <c r="N68" s="5">
        <f t="shared" si="28"/>
        <v>5087629.1291304352</v>
      </c>
      <c r="O68" s="5">
        <f t="shared" si="28"/>
        <v>18553106.15347717</v>
      </c>
      <c r="P68" s="5">
        <f t="shared" si="28"/>
        <v>15108210.17160074</v>
      </c>
      <c r="Q68" s="5">
        <f t="shared" si="28"/>
        <v>17552142.809653483</v>
      </c>
      <c r="R68" s="5">
        <f t="shared" si="28"/>
        <v>7880868.6262362441</v>
      </c>
      <c r="S68" s="5">
        <f t="shared" si="28"/>
        <v>9216970.8441647589</v>
      </c>
      <c r="T68" s="5">
        <f t="shared" si="28"/>
        <v>17728268.499267735</v>
      </c>
      <c r="U68" s="5">
        <f t="shared" si="28"/>
        <v>11578395.760538302</v>
      </c>
      <c r="V68" s="5">
        <f t="shared" si="28"/>
        <v>17085392.912608691</v>
      </c>
      <c r="W68" s="5">
        <f t="shared" si="28"/>
        <v>14491797.616271112</v>
      </c>
      <c r="X68" s="5">
        <f t="shared" si="28"/>
        <v>21872594.773577422</v>
      </c>
      <c r="Y68" s="5">
        <f t="shared" si="28"/>
        <v>9206561.5917391311</v>
      </c>
      <c r="Z68" s="5">
        <f t="shared" si="28"/>
        <v>4570736.8178260867</v>
      </c>
      <c r="AA68" s="5">
        <f t="shared" si="28"/>
        <v>25423183.519151136</v>
      </c>
      <c r="AB68" s="5">
        <f t="shared" si="28"/>
        <v>2915575.6223569796</v>
      </c>
      <c r="AC68" s="5">
        <f t="shared" si="28"/>
        <v>17738901.009405032</v>
      </c>
      <c r="AD68" s="5">
        <f t="shared" si="28"/>
        <v>4039238.9508695654</v>
      </c>
      <c r="AE68" s="5">
        <f t="shared" si="28"/>
        <v>11805059.857556935</v>
      </c>
      <c r="AF68" s="5">
        <f t="shared" si="28"/>
        <v>6998603.424161491</v>
      </c>
      <c r="AG68" s="5">
        <f t="shared" si="28"/>
        <v>14650258.623041298</v>
      </c>
      <c r="AH68" s="5">
        <f t="shared" si="28"/>
        <v>26710653.178486433</v>
      </c>
      <c r="AI68" s="5">
        <f t="shared" si="28"/>
        <v>9238155.8530227728</v>
      </c>
      <c r="AJ68" s="5">
        <f t="shared" si="28"/>
        <v>8963820.9790073</v>
      </c>
      <c r="AK68" s="5">
        <f t="shared" si="28"/>
        <v>12448137.106376812</v>
      </c>
      <c r="AL68" s="5">
        <f t="shared" si="28"/>
        <v>8940240.010828156</v>
      </c>
      <c r="AM68" s="5">
        <f t="shared" si="28"/>
        <v>15291524.735652173</v>
      </c>
      <c r="AN68" s="5">
        <f t="shared" si="28"/>
        <v>2488299.389130435</v>
      </c>
      <c r="AO68" s="5">
        <f t="shared" si="28"/>
        <v>16384385.365293669</v>
      </c>
      <c r="AP68" s="5">
        <f t="shared" si="28"/>
        <v>8489791.907262722</v>
      </c>
      <c r="AQ68" s="5">
        <f t="shared" si="28"/>
        <v>11956543.399334207</v>
      </c>
      <c r="AR68" s="5">
        <f t="shared" si="28"/>
        <v>6197641.5789615344</v>
      </c>
      <c r="AS68" s="5">
        <f t="shared" si="28"/>
        <v>5088567.8643478267</v>
      </c>
      <c r="AT68" s="5">
        <f t="shared" si="28"/>
        <v>4612867.4039130434</v>
      </c>
      <c r="AU68" s="5">
        <f t="shared" si="28"/>
        <v>6698485.6769565213</v>
      </c>
      <c r="AV68" s="5">
        <f t="shared" si="28"/>
        <v>5379948.6782608693</v>
      </c>
      <c r="AW68" s="5">
        <f t="shared" si="28"/>
        <v>9551034.8303726725</v>
      </c>
      <c r="AX68" s="5">
        <f t="shared" si="28"/>
        <v>12982445.331487413</v>
      </c>
      <c r="AY68" s="5">
        <f t="shared" si="28"/>
        <v>12508592.876613272</v>
      </c>
      <c r="AZ68" s="5">
        <f t="shared" si="28"/>
        <v>9091919.360249538</v>
      </c>
      <c r="BA68" s="5">
        <f t="shared" si="28"/>
        <v>100479436.61096218</v>
      </c>
      <c r="BB68" s="5">
        <f t="shared" si="28"/>
        <v>20435314.898169335</v>
      </c>
      <c r="BC68" s="5">
        <f t="shared" si="28"/>
        <v>5260841.0030434774</v>
      </c>
      <c r="BD68" s="5">
        <f t="shared" si="28"/>
        <v>6347624.8239130434</v>
      </c>
      <c r="BE68" s="5">
        <f t="shared" si="28"/>
        <v>8332003.4978260873</v>
      </c>
      <c r="BF68" s="5">
        <f t="shared" si="28"/>
        <v>15262109.542764518</v>
      </c>
      <c r="BG68" s="5">
        <f t="shared" si="28"/>
        <v>3517371.5822665356</v>
      </c>
      <c r="BH68" s="5">
        <f t="shared" ref="BH68" si="29">BH66-BH67</f>
        <v>9257314.1982859317</v>
      </c>
      <c r="BI68" s="5">
        <f t="shared" si="28"/>
        <v>9046872.8793592677</v>
      </c>
      <c r="BJ68" s="5">
        <f t="shared" si="28"/>
        <v>2804093.1039130436</v>
      </c>
      <c r="BK68" s="5">
        <f t="shared" si="28"/>
        <v>4673864.1683099056</v>
      </c>
      <c r="BL68" s="5">
        <f t="shared" si="28"/>
        <v>17144275.667184263</v>
      </c>
      <c r="BM68" s="5">
        <f t="shared" si="28"/>
        <v>7837026.6225171629</v>
      </c>
      <c r="BN68" s="5">
        <f t="shared" si="28"/>
        <v>13620079.625681596</v>
      </c>
      <c r="BO68" s="5">
        <f t="shared" ref="BO68:BZ68" si="30">BO66-BO67</f>
        <v>25789519.903710634</v>
      </c>
      <c r="BP68" s="5">
        <f t="shared" si="30"/>
        <v>19929265.369099922</v>
      </c>
      <c r="BQ68" s="5">
        <f t="shared" si="30"/>
        <v>6297816.6352315582</v>
      </c>
      <c r="BR68" s="5">
        <f t="shared" si="30"/>
        <v>59002783.210816167</v>
      </c>
      <c r="BS68" s="5">
        <f t="shared" si="30"/>
        <v>14909226.935217392</v>
      </c>
      <c r="BT68" s="5">
        <f t="shared" si="30"/>
        <v>11384450.485652175</v>
      </c>
      <c r="BU68" s="5">
        <f t="shared" si="30"/>
        <v>3188967.6360869566</v>
      </c>
      <c r="BV68" s="5">
        <f t="shared" si="30"/>
        <v>6588790.0860869568</v>
      </c>
      <c r="BW68" s="5">
        <f t="shared" si="30"/>
        <v>41348511.174118996</v>
      </c>
      <c r="BX68" s="5">
        <f t="shared" si="30"/>
        <v>4813544.4434782611</v>
      </c>
      <c r="BY68" s="5">
        <f t="shared" si="30"/>
        <v>7203252.6278260872</v>
      </c>
      <c r="BZ68" s="5">
        <f t="shared" si="30"/>
        <v>24261624.817231122</v>
      </c>
    </row>
    <row r="69" spans="1:80" x14ac:dyDescent="0.2">
      <c r="B69" s="33"/>
      <c r="C69" s="36"/>
      <c r="D69" s="5"/>
      <c r="E69" s="5"/>
      <c r="F69" s="5"/>
      <c r="G69" s="5"/>
      <c r="H69" s="1"/>
      <c r="I69" s="1"/>
      <c r="J69" s="1"/>
      <c r="K69" s="1"/>
      <c r="L69" s="1"/>
      <c r="M69" s="1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80" x14ac:dyDescent="0.2">
      <c r="B70" s="33" t="s">
        <v>96</v>
      </c>
      <c r="C70" s="36">
        <f>SUM(D70:BZ70)</f>
        <v>1317330148.8978171</v>
      </c>
      <c r="D70" s="5">
        <f t="shared" ref="D70:AI70" si="31">D68*D64</f>
        <v>243153853.51523042</v>
      </c>
      <c r="E70" s="5">
        <f t="shared" si="31"/>
        <v>24620289.371665217</v>
      </c>
      <c r="F70" s="5">
        <f t="shared" si="31"/>
        <v>3453481.416456522</v>
      </c>
      <c r="G70" s="5">
        <f t="shared" si="31"/>
        <v>3057912.3265434788</v>
      </c>
      <c r="H70" s="5">
        <f t="shared" si="31"/>
        <v>11885294.355</v>
      </c>
      <c r="I70" s="5">
        <f t="shared" si="31"/>
        <v>21775077.195798017</v>
      </c>
      <c r="J70" s="5">
        <f t="shared" si="31"/>
        <v>8916892.0884999987</v>
      </c>
      <c r="K70" s="5">
        <f t="shared" si="31"/>
        <v>3631594.5602434785</v>
      </c>
      <c r="L70" s="5">
        <f t="shared" si="31"/>
        <v>3832849.5963217393</v>
      </c>
      <c r="M70" s="5">
        <f t="shared" si="31"/>
        <v>2894740.4453797857</v>
      </c>
      <c r="N70" s="5">
        <f t="shared" si="31"/>
        <v>6359536.4114130437</v>
      </c>
      <c r="O70" s="5">
        <f t="shared" si="31"/>
        <v>17810981.907338083</v>
      </c>
      <c r="P70" s="5">
        <f t="shared" si="31"/>
        <v>20245001.629944995</v>
      </c>
      <c r="Q70" s="5">
        <f t="shared" si="31"/>
        <v>15621407.1005916</v>
      </c>
      <c r="R70" s="5">
        <f t="shared" si="31"/>
        <v>9378233.6652211305</v>
      </c>
      <c r="S70" s="5">
        <f t="shared" si="31"/>
        <v>10507346.762347825</v>
      </c>
      <c r="T70" s="5">
        <f t="shared" si="31"/>
        <v>15423593.594362929</v>
      </c>
      <c r="U70" s="5">
        <f t="shared" si="31"/>
        <v>11231043.887722153</v>
      </c>
      <c r="V70" s="5">
        <f t="shared" si="31"/>
        <v>12301482.897078257</v>
      </c>
      <c r="W70" s="5">
        <f t="shared" si="31"/>
        <v>12897699.878481289</v>
      </c>
      <c r="X70" s="5">
        <f t="shared" si="31"/>
        <v>16623172.027918842</v>
      </c>
      <c r="Y70" s="5">
        <f t="shared" si="31"/>
        <v>10035152.134995654</v>
      </c>
      <c r="Z70" s="5">
        <f t="shared" si="31"/>
        <v>5256347.340499999</v>
      </c>
      <c r="AA70" s="5">
        <f t="shared" si="31"/>
        <v>31016283.893364385</v>
      </c>
      <c r="AB70" s="5">
        <f t="shared" si="31"/>
        <v>3469534.9906048058</v>
      </c>
      <c r="AC70" s="5">
        <f t="shared" si="31"/>
        <v>18093679.029593132</v>
      </c>
      <c r="AD70" s="5">
        <f t="shared" si="31"/>
        <v>4806694.3515347829</v>
      </c>
      <c r="AE70" s="5">
        <f t="shared" si="31"/>
        <v>10388452.674650103</v>
      </c>
      <c r="AF70" s="5">
        <f t="shared" si="31"/>
        <v>8748254.2802018635</v>
      </c>
      <c r="AG70" s="5">
        <f t="shared" si="31"/>
        <v>16115284.485345429</v>
      </c>
      <c r="AH70" s="5">
        <f t="shared" si="31"/>
        <v>31518570.750613987</v>
      </c>
      <c r="AI70" s="5">
        <f t="shared" si="31"/>
        <v>10161971.438325051</v>
      </c>
      <c r="AJ70" s="5">
        <f t="shared" ref="AJ70:BM70" si="32">AJ68*AJ64</f>
        <v>14342113.566411681</v>
      </c>
      <c r="AK70" s="5">
        <f t="shared" si="32"/>
        <v>17676354.691055071</v>
      </c>
      <c r="AL70" s="5">
        <f t="shared" si="32"/>
        <v>11532909.613968322</v>
      </c>
      <c r="AM70" s="5">
        <f t="shared" si="32"/>
        <v>14068202.7568</v>
      </c>
      <c r="AN70" s="5">
        <f t="shared" si="32"/>
        <v>3608034.1142391306</v>
      </c>
      <c r="AO70" s="5">
        <f t="shared" si="32"/>
        <v>21791232.535840582</v>
      </c>
      <c r="AP70" s="5">
        <f t="shared" si="32"/>
        <v>11036729.479441538</v>
      </c>
      <c r="AQ70" s="5">
        <f t="shared" si="32"/>
        <v>13750024.909234338</v>
      </c>
      <c r="AR70" s="5">
        <f t="shared" si="32"/>
        <v>7127287.8158057639</v>
      </c>
      <c r="AS70" s="5">
        <f t="shared" si="32"/>
        <v>6106281.437217392</v>
      </c>
      <c r="AT70" s="5">
        <f t="shared" si="32"/>
        <v>5304797.5144999996</v>
      </c>
      <c r="AU70" s="5">
        <f t="shared" si="32"/>
        <v>8373107.0961956512</v>
      </c>
      <c r="AV70" s="5">
        <f t="shared" si="32"/>
        <v>6993933.2817391306</v>
      </c>
      <c r="AW70" s="5">
        <f t="shared" si="32"/>
        <v>10124096.920195034</v>
      </c>
      <c r="AX70" s="5">
        <f t="shared" si="32"/>
        <v>15059636.584525399</v>
      </c>
      <c r="AY70" s="5">
        <f t="shared" si="32"/>
        <v>14760139.59440366</v>
      </c>
      <c r="AZ70" s="5">
        <f t="shared" si="32"/>
        <v>10546626.457889464</v>
      </c>
      <c r="BA70" s="5">
        <f t="shared" si="32"/>
        <v>76364371.824331254</v>
      </c>
      <c r="BB70" s="5">
        <f t="shared" si="32"/>
        <v>24726731.026784893</v>
      </c>
      <c r="BC70" s="5">
        <f t="shared" si="32"/>
        <v>6733876.4838956511</v>
      </c>
      <c r="BD70" s="5">
        <f t="shared" si="32"/>
        <v>7934531.0298913047</v>
      </c>
      <c r="BE70" s="5">
        <f t="shared" si="32"/>
        <v>11581484.861978261</v>
      </c>
      <c r="BF70" s="5">
        <f t="shared" si="32"/>
        <v>20145984.596449167</v>
      </c>
      <c r="BG70" s="5">
        <f t="shared" si="32"/>
        <v>4818799.0677051544</v>
      </c>
      <c r="BH70" s="5">
        <f>BH68*BH64</f>
        <v>12351335.10967656</v>
      </c>
      <c r="BI70" s="5">
        <f t="shared" si="32"/>
        <v>11670466.014373455</v>
      </c>
      <c r="BJ70" s="5">
        <f t="shared" si="32"/>
        <v>3505116.3798913043</v>
      </c>
      <c r="BK70" s="5">
        <f t="shared" si="32"/>
        <v>6403193.9105845708</v>
      </c>
      <c r="BL70" s="5">
        <f t="shared" si="32"/>
        <v>22801886.637355071</v>
      </c>
      <c r="BM70" s="5">
        <f t="shared" si="32"/>
        <v>9953023.8105967976</v>
      </c>
      <c r="BN70" s="5">
        <f t="shared" ref="BN70:BZ70" si="33">BN68*BN64</f>
        <v>17025099.532101996</v>
      </c>
      <c r="BO70" s="5">
        <f t="shared" si="33"/>
        <v>34300061.471935146</v>
      </c>
      <c r="BP70" s="5">
        <f t="shared" si="33"/>
        <v>26505922.9409029</v>
      </c>
      <c r="BQ70" s="5">
        <f t="shared" si="33"/>
        <v>9824593.9509612303</v>
      </c>
      <c r="BR70" s="5">
        <f t="shared" si="33"/>
        <v>69623284.188763067</v>
      </c>
      <c r="BS70" s="5">
        <f t="shared" si="33"/>
        <v>12225566.086878261</v>
      </c>
      <c r="BT70" s="5">
        <f t="shared" si="33"/>
        <v>11384450.485652175</v>
      </c>
      <c r="BU70" s="5">
        <f t="shared" si="33"/>
        <v>4113768.2505521742</v>
      </c>
      <c r="BV70" s="5">
        <f t="shared" si="33"/>
        <v>7511220.6981391301</v>
      </c>
      <c r="BW70" s="5">
        <f t="shared" si="33"/>
        <v>47964272.961978033</v>
      </c>
      <c r="BX70" s="5">
        <f t="shared" si="33"/>
        <v>5679982.4433043478</v>
      </c>
      <c r="BY70" s="5">
        <f t="shared" si="33"/>
        <v>8787968.2059478257</v>
      </c>
      <c r="BZ70" s="5">
        <f t="shared" si="33"/>
        <v>25959938.554437302</v>
      </c>
    </row>
    <row r="71" spans="1:80" x14ac:dyDescent="0.2">
      <c r="B71" s="33"/>
      <c r="C71" s="5"/>
      <c r="D71" s="5"/>
      <c r="E71" s="5"/>
      <c r="F71" s="5"/>
      <c r="G71" s="5"/>
      <c r="H71" s="1"/>
      <c r="I71" s="1"/>
      <c r="J71" s="1"/>
      <c r="K71" s="1"/>
      <c r="L71" s="1"/>
      <c r="M71" s="1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80" s="32" customFormat="1" x14ac:dyDescent="0.2">
      <c r="A72" s="21"/>
      <c r="B72" s="21" t="s">
        <v>89</v>
      </c>
      <c r="C72" s="15">
        <f t="shared" ref="C72:AH72" si="34">C68*$C64</f>
        <v>1317330148.8978171</v>
      </c>
      <c r="D72" s="15">
        <f t="shared" si="34"/>
        <v>198042247.36994004</v>
      </c>
      <c r="E72" s="15">
        <f t="shared" si="34"/>
        <v>21258729.89986416</v>
      </c>
      <c r="F72" s="15">
        <f t="shared" si="34"/>
        <v>3332774.7630009796</v>
      </c>
      <c r="G72" s="15">
        <f t="shared" si="34"/>
        <v>2722269.5244121216</v>
      </c>
      <c r="H72" s="15">
        <f t="shared" si="34"/>
        <v>18198872.429515708</v>
      </c>
      <c r="I72" s="15">
        <f t="shared" si="34"/>
        <v>25516989.189735189</v>
      </c>
      <c r="J72" s="15">
        <f t="shared" si="34"/>
        <v>8904539.6593908928</v>
      </c>
      <c r="K72" s="15">
        <f t="shared" si="34"/>
        <v>3066579.6583954329</v>
      </c>
      <c r="L72" s="15">
        <f t="shared" si="34"/>
        <v>5367891.4782790653</v>
      </c>
      <c r="M72" s="15">
        <f t="shared" si="34"/>
        <v>2793562.9987257598</v>
      </c>
      <c r="N72" s="15">
        <f t="shared" si="34"/>
        <v>5842668.5148177519</v>
      </c>
      <c r="O72" s="15">
        <f t="shared" si="34"/>
        <v>21306515.554430742</v>
      </c>
      <c r="P72" s="15">
        <f t="shared" si="34"/>
        <v>17350373.15897046</v>
      </c>
      <c r="Q72" s="15">
        <f t="shared" si="34"/>
        <v>20157002.320464939</v>
      </c>
      <c r="R72" s="15">
        <f t="shared" si="34"/>
        <v>9050444.0915872119</v>
      </c>
      <c r="S72" s="15">
        <f t="shared" si="34"/>
        <v>10584833.128824946</v>
      </c>
      <c r="T72" s="15">
        <f t="shared" si="34"/>
        <v>20359266.28177999</v>
      </c>
      <c r="U72" s="15">
        <f t="shared" si="34"/>
        <v>13296709.851521514</v>
      </c>
      <c r="V72" s="15">
        <f t="shared" si="34"/>
        <v>19620983.507272843</v>
      </c>
      <c r="W72" s="15">
        <f t="shared" si="34"/>
        <v>16642480.712852176</v>
      </c>
      <c r="X72" s="15">
        <f t="shared" si="34"/>
        <v>25118639.267400846</v>
      </c>
      <c r="Y72" s="15">
        <f t="shared" si="34"/>
        <v>10572879.071273506</v>
      </c>
      <c r="Z72" s="15">
        <f t="shared" si="34"/>
        <v>5249065.805941551</v>
      </c>
      <c r="AA72" s="15">
        <f t="shared" si="34"/>
        <v>29196159.964428436</v>
      </c>
      <c r="AB72" s="15">
        <f t="shared" si="34"/>
        <v>3348267.229971386</v>
      </c>
      <c r="AC72" s="15">
        <f t="shared" si="34"/>
        <v>20371476.730033178</v>
      </c>
      <c r="AD72" s="15">
        <f t="shared" si="34"/>
        <v>4638689.9758364931</v>
      </c>
      <c r="AE72" s="15">
        <f t="shared" si="34"/>
        <v>13557012.469789743</v>
      </c>
      <c r="AF72" s="15">
        <f t="shared" si="34"/>
        <v>8037244.6253826991</v>
      </c>
      <c r="AG72" s="15">
        <f t="shared" si="34"/>
        <v>16824458.430092096</v>
      </c>
      <c r="AH72" s="15">
        <f t="shared" si="34"/>
        <v>30674699.034682397</v>
      </c>
      <c r="AI72" s="15">
        <f t="shared" ref="AI72:BL72" si="35">AI68*$C64</f>
        <v>10609162.139666583</v>
      </c>
      <c r="AJ72" s="15">
        <f t="shared" si="35"/>
        <v>10294114.071058515</v>
      </c>
      <c r="AK72" s="15">
        <f t="shared" si="35"/>
        <v>14295526.834518546</v>
      </c>
      <c r="AL72" s="15">
        <f t="shared" si="35"/>
        <v>10267033.523944667</v>
      </c>
      <c r="AM72" s="15">
        <f t="shared" si="35"/>
        <v>17560892.873459537</v>
      </c>
      <c r="AN72" s="15">
        <f t="shared" si="35"/>
        <v>2857580.2455941769</v>
      </c>
      <c r="AO72" s="15">
        <f t="shared" si="35"/>
        <v>18815941.586686321</v>
      </c>
      <c r="AP72" s="15">
        <f t="shared" si="35"/>
        <v>9749735.8032456432</v>
      </c>
      <c r="AQ72" s="15">
        <f t="shared" si="35"/>
        <v>13730977.217925074</v>
      </c>
      <c r="AR72" s="15">
        <f t="shared" si="35"/>
        <v>7117414.4970966056</v>
      </c>
      <c r="AS72" s="15">
        <f t="shared" si="35"/>
        <v>5843746.5648405021</v>
      </c>
      <c r="AT72" s="15">
        <f t="shared" si="35"/>
        <v>5297448.8626843598</v>
      </c>
      <c r="AU72" s="15">
        <f t="shared" si="35"/>
        <v>7692587.3267025556</v>
      </c>
      <c r="AV72" s="15">
        <f t="shared" si="35"/>
        <v>6178370.308840231</v>
      </c>
      <c r="AW72" s="15">
        <f t="shared" si="35"/>
        <v>10968474.523394343</v>
      </c>
      <c r="AX72" s="15">
        <f t="shared" si="35"/>
        <v>14909130.099384559</v>
      </c>
      <c r="AY72" s="15">
        <f t="shared" si="35"/>
        <v>14364954.659608461</v>
      </c>
      <c r="AZ72" s="15">
        <f t="shared" si="35"/>
        <v>10441223.138934119</v>
      </c>
      <c r="BA72" s="15">
        <f t="shared" si="35"/>
        <v>115391280.64820933</v>
      </c>
      <c r="BB72" s="15">
        <f t="shared" si="35"/>
        <v>23468057.107835434</v>
      </c>
      <c r="BC72" s="15">
        <f t="shared" si="35"/>
        <v>6041586.2300084596</v>
      </c>
      <c r="BD72" s="15">
        <f t="shared" si="35"/>
        <v>7289656.2939703008</v>
      </c>
      <c r="BE72" s="15">
        <f t="shared" si="35"/>
        <v>9568530.501440132</v>
      </c>
      <c r="BF72" s="15">
        <f t="shared" si="35"/>
        <v>17527112.262298644</v>
      </c>
      <c r="BG72" s="15">
        <f t="shared" si="35"/>
        <v>4039373.8767149257</v>
      </c>
      <c r="BH72" s="15">
        <f t="shared" ref="BH72" si="36">BH68*$C64</f>
        <v>10631163.716004794</v>
      </c>
      <c r="BI72" s="15">
        <f t="shared" si="35"/>
        <v>10389491.448411718</v>
      </c>
      <c r="BJ72" s="15">
        <f t="shared" si="35"/>
        <v>3220239.9339691121</v>
      </c>
      <c r="BK72" s="15">
        <f t="shared" si="35"/>
        <v>5367497.9692135165</v>
      </c>
      <c r="BL72" s="15">
        <f t="shared" si="35"/>
        <v>19688604.870287415</v>
      </c>
      <c r="BM72" s="15">
        <f t="shared" ref="BM72:BZ72" si="37">BM68*$C64</f>
        <v>9000095.6309871003</v>
      </c>
      <c r="BN72" s="15">
        <f t="shared" si="37"/>
        <v>15641393.737338284</v>
      </c>
      <c r="BO72" s="15">
        <f t="shared" si="37"/>
        <v>29616863.204694647</v>
      </c>
      <c r="BP72" s="15">
        <f t="shared" si="37"/>
        <v>22886906.325145118</v>
      </c>
      <c r="BQ72" s="15">
        <f t="shared" si="37"/>
        <v>7232456.2252539797</v>
      </c>
      <c r="BR72" s="15">
        <f t="shared" si="37"/>
        <v>67759204.730273664</v>
      </c>
      <c r="BS72" s="15">
        <f t="shared" si="37"/>
        <v>17121859.432697289</v>
      </c>
      <c r="BT72" s="15">
        <f t="shared" si="37"/>
        <v>13073981.755110813</v>
      </c>
      <c r="BU72" s="15">
        <f t="shared" si="37"/>
        <v>3662232.5112999352</v>
      </c>
      <c r="BV72" s="15">
        <f t="shared" si="37"/>
        <v>7566612.1506980341</v>
      </c>
      <c r="BW72" s="15">
        <f t="shared" si="37"/>
        <v>47484916.498405665</v>
      </c>
      <c r="BX72" s="15">
        <f t="shared" si="37"/>
        <v>5527907.7642582115</v>
      </c>
      <c r="BY72" s="15">
        <f t="shared" si="37"/>
        <v>8272265.1877085594</v>
      </c>
      <c r="BZ72" s="15">
        <f t="shared" si="37"/>
        <v>27862217.909383126</v>
      </c>
      <c r="CA72" s="21"/>
      <c r="CB72" s="21"/>
    </row>
    <row r="73" spans="1:80" x14ac:dyDescent="0.2">
      <c r="B73" s="33"/>
      <c r="C73" s="5"/>
      <c r="D73" s="5"/>
      <c r="E73" s="5"/>
      <c r="F73" s="5"/>
      <c r="G73" s="5"/>
      <c r="H73" s="1"/>
      <c r="I73" s="1"/>
      <c r="J73" s="1"/>
      <c r="K73" s="1"/>
      <c r="L73" s="1"/>
      <c r="M73" s="1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80" s="32" customFormat="1" x14ac:dyDescent="0.2">
      <c r="A74" s="25" t="s">
        <v>129</v>
      </c>
      <c r="B74" s="26" t="s">
        <v>0</v>
      </c>
      <c r="C74" s="16"/>
      <c r="D74" s="16"/>
      <c r="E74" s="16"/>
      <c r="F74" s="16"/>
      <c r="G74" s="16"/>
      <c r="H74" s="17"/>
      <c r="I74" s="17"/>
      <c r="J74" s="17"/>
      <c r="K74" s="17"/>
      <c r="L74" s="17"/>
      <c r="M74" s="17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27"/>
      <c r="CB74" s="35"/>
    </row>
    <row r="75" spans="1:80" x14ac:dyDescent="0.2">
      <c r="B75" s="30" t="s">
        <v>81</v>
      </c>
      <c r="C75" s="5">
        <f>SUM(D75:BZ75)</f>
        <v>67738965.849999964</v>
      </c>
      <c r="D75" s="9">
        <v>13975886.349999998</v>
      </c>
      <c r="E75" s="9">
        <v>662348.60000000009</v>
      </c>
      <c r="F75" s="9">
        <v>96181.3</v>
      </c>
      <c r="G75" s="9">
        <v>44171.450000000012</v>
      </c>
      <c r="H75" s="9">
        <v>133442.35000000003</v>
      </c>
      <c r="I75" s="9">
        <v>888621.3</v>
      </c>
      <c r="J75" s="9">
        <v>697449.15</v>
      </c>
      <c r="K75" s="9">
        <v>18102.650000000001</v>
      </c>
      <c r="L75" s="9">
        <v>48683.500000000007</v>
      </c>
      <c r="M75" s="9">
        <v>32970</v>
      </c>
      <c r="N75" s="9">
        <v>81195.850000000006</v>
      </c>
      <c r="O75" s="9">
        <v>702407.60000000009</v>
      </c>
      <c r="P75" s="9">
        <v>2185601.5000000005</v>
      </c>
      <c r="Q75" s="9">
        <v>1644654.8500000003</v>
      </c>
      <c r="R75" s="9">
        <v>498663.05</v>
      </c>
      <c r="S75" s="9">
        <v>1900526.7</v>
      </c>
      <c r="T75" s="9">
        <v>2900382.4</v>
      </c>
      <c r="U75" s="9">
        <v>703393.35</v>
      </c>
      <c r="V75" s="9">
        <v>2796594.4500000007</v>
      </c>
      <c r="W75" s="9">
        <v>2190558.4000000004</v>
      </c>
      <c r="X75" s="9">
        <v>2523463</v>
      </c>
      <c r="Y75" s="9">
        <v>698719.4</v>
      </c>
      <c r="Z75" s="9">
        <v>249144.35</v>
      </c>
      <c r="AA75" s="9">
        <v>2651042.5499999998</v>
      </c>
      <c r="AB75" s="9">
        <v>91930.55</v>
      </c>
      <c r="AC75" s="9">
        <v>1754289.3499999999</v>
      </c>
      <c r="AD75" s="9">
        <v>504671.3</v>
      </c>
      <c r="AE75" s="9">
        <v>2954109.5499999993</v>
      </c>
      <c r="AF75" s="9">
        <v>398198.19999999995</v>
      </c>
      <c r="AG75" s="9">
        <v>1085699.5999999999</v>
      </c>
      <c r="AH75" s="9">
        <v>2900953.6500000004</v>
      </c>
      <c r="AI75" s="9">
        <v>890028.9</v>
      </c>
      <c r="AJ75" s="9">
        <v>652003.35000000009</v>
      </c>
      <c r="AK75" s="9">
        <v>639466.30000000005</v>
      </c>
      <c r="AL75" s="9">
        <v>397336.10000000003</v>
      </c>
      <c r="AM75" s="9">
        <v>968228.79999999993</v>
      </c>
      <c r="AN75" s="9">
        <v>229745.15</v>
      </c>
      <c r="AO75" s="9">
        <v>894140.95000000007</v>
      </c>
      <c r="AP75" s="9">
        <v>373470.99999999994</v>
      </c>
      <c r="AQ75" s="9">
        <v>476204.15</v>
      </c>
      <c r="AR75" s="9">
        <v>293602.05</v>
      </c>
      <c r="AS75" s="9">
        <v>71153.400000000009</v>
      </c>
      <c r="AT75" s="9">
        <v>36624.000000000015</v>
      </c>
      <c r="AU75" s="9">
        <v>204291.05</v>
      </c>
      <c r="AV75" s="9">
        <v>193852.10000000003</v>
      </c>
      <c r="AW75" s="9">
        <v>199024.85</v>
      </c>
      <c r="AX75" s="9">
        <v>203043.50000000003</v>
      </c>
      <c r="AY75" s="9">
        <v>522106.8</v>
      </c>
      <c r="AZ75" s="9">
        <v>303802.30000000005</v>
      </c>
      <c r="BA75" s="9">
        <v>2119286.4</v>
      </c>
      <c r="BB75" s="9">
        <v>585829.65000000014</v>
      </c>
      <c r="BC75" s="9">
        <v>214313</v>
      </c>
      <c r="BD75" s="9">
        <v>89611.9</v>
      </c>
      <c r="BE75" s="9">
        <v>185435.30000000002</v>
      </c>
      <c r="BF75" s="9">
        <v>396539.74999999994</v>
      </c>
      <c r="BG75" s="9">
        <v>134514.70000000001</v>
      </c>
      <c r="BH75" s="9">
        <v>223680.15000000002</v>
      </c>
      <c r="BI75" s="9">
        <v>237397.75</v>
      </c>
      <c r="BJ75" s="9">
        <v>92305.7</v>
      </c>
      <c r="BK75" s="9">
        <v>89534</v>
      </c>
      <c r="BL75" s="9">
        <v>784319.95000000007</v>
      </c>
      <c r="BM75" s="9">
        <v>238947.55000000005</v>
      </c>
      <c r="BN75" s="9">
        <v>360265.85000000003</v>
      </c>
      <c r="BO75" s="9">
        <v>1218098.6500000004</v>
      </c>
      <c r="BP75" s="9">
        <v>690282.45</v>
      </c>
      <c r="BQ75" s="9">
        <v>266438.99999999994</v>
      </c>
      <c r="BR75" s="9">
        <v>1963143.2500000005</v>
      </c>
      <c r="BS75" s="9">
        <v>174985.40000000002</v>
      </c>
      <c r="BT75" s="9">
        <v>291054.65000000002</v>
      </c>
      <c r="BU75" s="9">
        <v>81468.399999999994</v>
      </c>
      <c r="BV75" s="9">
        <v>74524.150000000009</v>
      </c>
      <c r="BW75" s="9">
        <v>1161874.3500000001</v>
      </c>
      <c r="BX75" s="9">
        <v>55472.4</v>
      </c>
      <c r="BY75" s="9">
        <v>177165.09999999995</v>
      </c>
      <c r="BZ75" s="9">
        <v>270295.34999999998</v>
      </c>
      <c r="CB75" s="3" t="s">
        <v>107</v>
      </c>
    </row>
    <row r="76" spans="1:80" x14ac:dyDescent="0.2">
      <c r="B76" s="30" t="s">
        <v>86</v>
      </c>
      <c r="C76" s="5">
        <f>SUM(D76:BZ76)</f>
        <v>711972.88000000047</v>
      </c>
      <c r="D76" s="9">
        <v>186647.90000000002</v>
      </c>
      <c r="E76" s="9">
        <v>18433.2</v>
      </c>
      <c r="F76" s="9">
        <v>3.5000000000000004</v>
      </c>
      <c r="G76" s="9">
        <v>6.6000000000000005</v>
      </c>
      <c r="H76" s="9">
        <v>6.6000000000000005</v>
      </c>
      <c r="I76" s="9">
        <v>14844.949999999999</v>
      </c>
      <c r="J76" s="9">
        <v>2320.65</v>
      </c>
      <c r="K76" s="9">
        <v>917.3</v>
      </c>
      <c r="L76" s="9">
        <v>1553.3500000000001</v>
      </c>
      <c r="M76" s="9">
        <v>-0.35000000000000009</v>
      </c>
      <c r="N76" s="9">
        <v>138.35000000000002</v>
      </c>
      <c r="O76" s="9">
        <v>12751.45</v>
      </c>
      <c r="P76" s="9">
        <v>48403.35</v>
      </c>
      <c r="Q76" s="9">
        <v>60935.5</v>
      </c>
      <c r="R76" s="9">
        <v>3015.4</v>
      </c>
      <c r="S76" s="9">
        <v>17830.75</v>
      </c>
      <c r="T76" s="9">
        <v>12634.400000000001</v>
      </c>
      <c r="U76" s="9">
        <v>4017.9</v>
      </c>
      <c r="V76" s="9">
        <v>14641.55</v>
      </c>
      <c r="W76" s="9">
        <v>4945.8</v>
      </c>
      <c r="X76" s="9">
        <v>4335.1499999999996</v>
      </c>
      <c r="Y76" s="9">
        <v>2611.1999999999998</v>
      </c>
      <c r="Z76" s="9">
        <v>1009.65</v>
      </c>
      <c r="AA76" s="9">
        <v>6444.9</v>
      </c>
      <c r="AB76" s="9">
        <v>3516.7000000000003</v>
      </c>
      <c r="AC76" s="9">
        <v>1496.75</v>
      </c>
      <c r="AD76" s="9">
        <v>781.89999999999986</v>
      </c>
      <c r="AE76" s="9">
        <v>11772.15</v>
      </c>
      <c r="AF76" s="9">
        <v>2866.15</v>
      </c>
      <c r="AG76" s="9">
        <v>1182.6500000000001</v>
      </c>
      <c r="AH76" s="9">
        <v>5299</v>
      </c>
      <c r="AI76" s="9">
        <v>228.55</v>
      </c>
      <c r="AJ76" s="9">
        <v>1517.5500000000002</v>
      </c>
      <c r="AK76" s="9">
        <v>5390.4</v>
      </c>
      <c r="AL76" s="9">
        <v>2492.5500000000002</v>
      </c>
      <c r="AM76" s="9">
        <v>5778.65</v>
      </c>
      <c r="AN76" s="9">
        <v>563.19999999999993</v>
      </c>
      <c r="AO76" s="9">
        <v>3501.1</v>
      </c>
      <c r="AP76" s="9">
        <v>6920.5999999999995</v>
      </c>
      <c r="AQ76" s="9">
        <v>10011.5</v>
      </c>
      <c r="AR76" s="9">
        <v>3302.5499999999997</v>
      </c>
      <c r="AS76" s="9">
        <v>0.95</v>
      </c>
      <c r="AT76" s="9">
        <v>401.9</v>
      </c>
      <c r="AU76" s="9">
        <v>6024.6999999999989</v>
      </c>
      <c r="AV76" s="9">
        <v>1135.2499999999998</v>
      </c>
      <c r="AW76" s="9">
        <v>5253.35</v>
      </c>
      <c r="AX76" s="9">
        <v>645.94999999999993</v>
      </c>
      <c r="AY76" s="9">
        <v>17163.550000000003</v>
      </c>
      <c r="AZ76" s="9">
        <v>4807.8999999999996</v>
      </c>
      <c r="BA76" s="9">
        <v>7138.85</v>
      </c>
      <c r="BB76" s="9">
        <v>6885.35</v>
      </c>
      <c r="BC76" s="9">
        <v>32064.35</v>
      </c>
      <c r="BD76" s="9">
        <v>-0.14999999999999991</v>
      </c>
      <c r="BE76" s="9">
        <v>3172.3500000000004</v>
      </c>
      <c r="BF76" s="9">
        <v>19312.400000000001</v>
      </c>
      <c r="BG76" s="9">
        <v>3456.65</v>
      </c>
      <c r="BH76" s="9">
        <v>1974.35</v>
      </c>
      <c r="BI76" s="9">
        <v>734.9</v>
      </c>
      <c r="BJ76" s="9">
        <v>4517.3999999999996</v>
      </c>
      <c r="BK76" s="9">
        <v>26.3</v>
      </c>
      <c r="BL76" s="9">
        <v>22446.799999999999</v>
      </c>
      <c r="BM76" s="9">
        <v>1547.3</v>
      </c>
      <c r="BN76" s="9">
        <v>13278.6</v>
      </c>
      <c r="BO76" s="9">
        <v>17961.8</v>
      </c>
      <c r="BP76" s="9">
        <v>7801.9000000000005</v>
      </c>
      <c r="BQ76" s="9">
        <v>5022.5</v>
      </c>
      <c r="BR76" s="9">
        <v>34571.399999999994</v>
      </c>
      <c r="BS76" s="9">
        <v>781.7299999999999</v>
      </c>
      <c r="BT76" s="9">
        <v>1624.85</v>
      </c>
      <c r="BU76" s="9">
        <v>312.34999999999997</v>
      </c>
      <c r="BV76" s="9">
        <v>2.8</v>
      </c>
      <c r="BW76" s="9">
        <v>2763.15</v>
      </c>
      <c r="BX76" s="9">
        <v>6.25</v>
      </c>
      <c r="BY76" s="9">
        <v>889.1</v>
      </c>
      <c r="BZ76" s="9">
        <v>3175.0499999999993</v>
      </c>
      <c r="CB76" s="3" t="s">
        <v>107</v>
      </c>
    </row>
    <row r="77" spans="1:80" s="32" customFormat="1" x14ac:dyDescent="0.2">
      <c r="A77" s="21"/>
      <c r="B77" s="32" t="s">
        <v>90</v>
      </c>
      <c r="C77" s="15">
        <f>SUM(D77:BZ77)</f>
        <v>67026992.969999984</v>
      </c>
      <c r="D77" s="15">
        <f>D75-D76</f>
        <v>13789238.449999997</v>
      </c>
      <c r="E77" s="15">
        <f t="shared" ref="E77:BN77" si="38">E75-E76</f>
        <v>643915.40000000014</v>
      </c>
      <c r="F77" s="15">
        <f t="shared" si="38"/>
        <v>96177.8</v>
      </c>
      <c r="G77" s="15">
        <f t="shared" si="38"/>
        <v>44164.850000000013</v>
      </c>
      <c r="H77" s="15">
        <f t="shared" si="38"/>
        <v>133435.75000000003</v>
      </c>
      <c r="I77" s="15">
        <f t="shared" si="38"/>
        <v>873776.35000000009</v>
      </c>
      <c r="J77" s="15">
        <f t="shared" si="38"/>
        <v>695128.5</v>
      </c>
      <c r="K77" s="15">
        <f t="shared" si="38"/>
        <v>17185.350000000002</v>
      </c>
      <c r="L77" s="15">
        <f t="shared" si="38"/>
        <v>47130.150000000009</v>
      </c>
      <c r="M77" s="15">
        <f t="shared" si="38"/>
        <v>32970.35</v>
      </c>
      <c r="N77" s="15">
        <f t="shared" si="38"/>
        <v>81057.5</v>
      </c>
      <c r="O77" s="15">
        <f t="shared" si="38"/>
        <v>689656.15000000014</v>
      </c>
      <c r="P77" s="15">
        <f t="shared" si="38"/>
        <v>2137198.1500000004</v>
      </c>
      <c r="Q77" s="15">
        <f t="shared" si="38"/>
        <v>1583719.3500000003</v>
      </c>
      <c r="R77" s="15">
        <f t="shared" si="38"/>
        <v>495647.64999999997</v>
      </c>
      <c r="S77" s="15">
        <f t="shared" si="38"/>
        <v>1882695.95</v>
      </c>
      <c r="T77" s="15">
        <f t="shared" si="38"/>
        <v>2887748</v>
      </c>
      <c r="U77" s="15">
        <f t="shared" si="38"/>
        <v>699375.45</v>
      </c>
      <c r="V77" s="15">
        <f t="shared" si="38"/>
        <v>2781952.9000000008</v>
      </c>
      <c r="W77" s="15">
        <f t="shared" si="38"/>
        <v>2185612.6000000006</v>
      </c>
      <c r="X77" s="15">
        <f t="shared" si="38"/>
        <v>2519127.85</v>
      </c>
      <c r="Y77" s="15">
        <f t="shared" si="38"/>
        <v>696108.20000000007</v>
      </c>
      <c r="Z77" s="15">
        <f t="shared" si="38"/>
        <v>248134.7</v>
      </c>
      <c r="AA77" s="15">
        <f t="shared" si="38"/>
        <v>2644597.65</v>
      </c>
      <c r="AB77" s="15">
        <f t="shared" si="38"/>
        <v>88413.85</v>
      </c>
      <c r="AC77" s="15">
        <f t="shared" si="38"/>
        <v>1752792.5999999999</v>
      </c>
      <c r="AD77" s="15">
        <f t="shared" si="38"/>
        <v>503889.39999999997</v>
      </c>
      <c r="AE77" s="15">
        <f t="shared" si="38"/>
        <v>2942337.3999999994</v>
      </c>
      <c r="AF77" s="15">
        <f t="shared" si="38"/>
        <v>395332.04999999993</v>
      </c>
      <c r="AG77" s="15">
        <f t="shared" si="38"/>
        <v>1084516.95</v>
      </c>
      <c r="AH77" s="15">
        <f t="shared" si="38"/>
        <v>2895654.6500000004</v>
      </c>
      <c r="AI77" s="15">
        <f t="shared" si="38"/>
        <v>889800.35</v>
      </c>
      <c r="AJ77" s="15">
        <f t="shared" si="38"/>
        <v>650485.80000000005</v>
      </c>
      <c r="AK77" s="15">
        <f t="shared" si="38"/>
        <v>634075.9</v>
      </c>
      <c r="AL77" s="15">
        <f t="shared" si="38"/>
        <v>394843.55000000005</v>
      </c>
      <c r="AM77" s="15">
        <f t="shared" si="38"/>
        <v>962450.14999999991</v>
      </c>
      <c r="AN77" s="15">
        <f t="shared" si="38"/>
        <v>229181.94999999998</v>
      </c>
      <c r="AO77" s="15">
        <f t="shared" si="38"/>
        <v>890639.85000000009</v>
      </c>
      <c r="AP77" s="15">
        <f t="shared" si="38"/>
        <v>366550.39999999997</v>
      </c>
      <c r="AQ77" s="15">
        <f t="shared" si="38"/>
        <v>466192.65</v>
      </c>
      <c r="AR77" s="15">
        <f t="shared" si="38"/>
        <v>290299.5</v>
      </c>
      <c r="AS77" s="15">
        <f t="shared" si="38"/>
        <v>71152.450000000012</v>
      </c>
      <c r="AT77" s="15">
        <f t="shared" si="38"/>
        <v>36222.100000000013</v>
      </c>
      <c r="AU77" s="15">
        <f t="shared" si="38"/>
        <v>198266.34999999998</v>
      </c>
      <c r="AV77" s="15">
        <f t="shared" si="38"/>
        <v>192716.85000000003</v>
      </c>
      <c r="AW77" s="15">
        <f t="shared" si="38"/>
        <v>193771.5</v>
      </c>
      <c r="AX77" s="15">
        <f t="shared" si="38"/>
        <v>202397.55000000002</v>
      </c>
      <c r="AY77" s="15">
        <f t="shared" si="38"/>
        <v>504943.25</v>
      </c>
      <c r="AZ77" s="15">
        <f t="shared" si="38"/>
        <v>298994.40000000002</v>
      </c>
      <c r="BA77" s="15">
        <f t="shared" si="38"/>
        <v>2112147.5499999998</v>
      </c>
      <c r="BB77" s="15">
        <f t="shared" si="38"/>
        <v>578944.30000000016</v>
      </c>
      <c r="BC77" s="15">
        <f t="shared" si="38"/>
        <v>182248.65</v>
      </c>
      <c r="BD77" s="15">
        <f t="shared" si="38"/>
        <v>89612.049999999988</v>
      </c>
      <c r="BE77" s="15">
        <f t="shared" si="38"/>
        <v>182262.95</v>
      </c>
      <c r="BF77" s="15">
        <f t="shared" si="38"/>
        <v>377227.34999999992</v>
      </c>
      <c r="BG77" s="15">
        <f t="shared" si="38"/>
        <v>131058.05000000002</v>
      </c>
      <c r="BH77" s="15">
        <f t="shared" si="38"/>
        <v>221705.80000000002</v>
      </c>
      <c r="BI77" s="15">
        <f t="shared" si="38"/>
        <v>236662.85</v>
      </c>
      <c r="BJ77" s="15">
        <f t="shared" si="38"/>
        <v>87788.3</v>
      </c>
      <c r="BK77" s="15">
        <f t="shared" si="38"/>
        <v>89507.7</v>
      </c>
      <c r="BL77" s="15">
        <f t="shared" si="38"/>
        <v>761873.15</v>
      </c>
      <c r="BM77" s="15">
        <f t="shared" si="38"/>
        <v>237400.25000000006</v>
      </c>
      <c r="BN77" s="15">
        <f t="shared" si="38"/>
        <v>346987.25000000006</v>
      </c>
      <c r="BO77" s="15">
        <f t="shared" ref="BO77:BZ77" si="39">BO75-BO76</f>
        <v>1200136.8500000003</v>
      </c>
      <c r="BP77" s="15">
        <f t="shared" si="39"/>
        <v>682480.54999999993</v>
      </c>
      <c r="BQ77" s="15">
        <f t="shared" si="39"/>
        <v>261416.49999999994</v>
      </c>
      <c r="BR77" s="15">
        <f t="shared" si="39"/>
        <v>1928571.8500000006</v>
      </c>
      <c r="BS77" s="15">
        <f t="shared" si="39"/>
        <v>174203.67</v>
      </c>
      <c r="BT77" s="15">
        <f t="shared" si="39"/>
        <v>289429.80000000005</v>
      </c>
      <c r="BU77" s="15">
        <f t="shared" si="39"/>
        <v>81156.049999999988</v>
      </c>
      <c r="BV77" s="15">
        <f t="shared" si="39"/>
        <v>74521.350000000006</v>
      </c>
      <c r="BW77" s="15">
        <f t="shared" si="39"/>
        <v>1159111.2000000002</v>
      </c>
      <c r="BX77" s="15">
        <f t="shared" si="39"/>
        <v>55466.15</v>
      </c>
      <c r="BY77" s="15">
        <f t="shared" si="39"/>
        <v>176275.99999999994</v>
      </c>
      <c r="BZ77" s="15">
        <f t="shared" si="39"/>
        <v>267120.3</v>
      </c>
      <c r="CA77" s="21"/>
      <c r="CB77" s="21"/>
    </row>
    <row r="78" spans="1:80" x14ac:dyDescent="0.2">
      <c r="B78" s="30"/>
      <c r="C78" s="5"/>
      <c r="D78" s="5"/>
      <c r="E78" s="5"/>
      <c r="F78" s="5"/>
      <c r="G78" s="5"/>
      <c r="H78" s="1"/>
      <c r="I78" s="1"/>
      <c r="J78" s="1"/>
      <c r="K78" s="1"/>
      <c r="L78" s="1"/>
      <c r="M78" s="1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80" s="32" customFormat="1" x14ac:dyDescent="0.2">
      <c r="A79" s="25" t="s">
        <v>137</v>
      </c>
      <c r="B79" s="26" t="s">
        <v>1</v>
      </c>
      <c r="C79" s="16"/>
      <c r="D79" s="16"/>
      <c r="E79" s="16"/>
      <c r="F79" s="16"/>
      <c r="G79" s="16"/>
      <c r="H79" s="17"/>
      <c r="I79" s="17"/>
      <c r="J79" s="17"/>
      <c r="K79" s="17"/>
      <c r="L79" s="17"/>
      <c r="M79" s="17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27"/>
      <c r="CB79" s="35"/>
    </row>
    <row r="80" spans="1:80" x14ac:dyDescent="0.2">
      <c r="B80" s="30" t="s">
        <v>81</v>
      </c>
      <c r="C80" s="36">
        <f>SUM(D80:BZ80)</f>
        <v>198382281.34999999</v>
      </c>
      <c r="D80" s="9">
        <v>48280436.700000003</v>
      </c>
      <c r="E80" s="9">
        <v>1504576.9</v>
      </c>
      <c r="F80" s="9">
        <v>160447.54999999999</v>
      </c>
      <c r="G80" s="9">
        <v>68297.399999999994</v>
      </c>
      <c r="H80" s="9">
        <v>931178.8</v>
      </c>
      <c r="I80" s="9">
        <v>5884420.9000000004</v>
      </c>
      <c r="J80" s="9">
        <v>1495338</v>
      </c>
      <c r="K80" s="9">
        <v>21783.55</v>
      </c>
      <c r="L80" s="9">
        <v>483074.2</v>
      </c>
      <c r="M80" s="9">
        <v>89686.95</v>
      </c>
      <c r="N80" s="9">
        <v>105204.75</v>
      </c>
      <c r="O80" s="9">
        <v>955230.35</v>
      </c>
      <c r="P80" s="9">
        <v>3760590.45</v>
      </c>
      <c r="Q80" s="9">
        <v>2958803.85</v>
      </c>
      <c r="R80" s="9">
        <v>735507.1</v>
      </c>
      <c r="S80" s="9">
        <v>1450766.55</v>
      </c>
      <c r="T80" s="9">
        <v>4811601.1500000004</v>
      </c>
      <c r="U80" s="9">
        <v>1196284.8999999999</v>
      </c>
      <c r="V80" s="9">
        <v>6151648.8499999996</v>
      </c>
      <c r="W80" s="9">
        <v>2216160.15</v>
      </c>
      <c r="X80" s="9">
        <v>6588103.0499999998</v>
      </c>
      <c r="Y80" s="9">
        <v>2196056.35</v>
      </c>
      <c r="Z80" s="9">
        <v>225002.4</v>
      </c>
      <c r="AA80" s="9">
        <v>4169087.1</v>
      </c>
      <c r="AB80" s="9">
        <v>89451.95</v>
      </c>
      <c r="AC80" s="9">
        <v>2991092.15</v>
      </c>
      <c r="AD80" s="9">
        <v>702720.65</v>
      </c>
      <c r="AE80" s="9">
        <v>5454043.9000000004</v>
      </c>
      <c r="AF80" s="9">
        <v>453827.45</v>
      </c>
      <c r="AG80" s="9">
        <v>1118779.3</v>
      </c>
      <c r="AH80" s="9">
        <v>7655536.7999999998</v>
      </c>
      <c r="AI80" s="9">
        <v>1575528.5</v>
      </c>
      <c r="AJ80" s="9">
        <v>791979.7</v>
      </c>
      <c r="AK80" s="9">
        <v>1401000.05</v>
      </c>
      <c r="AL80" s="9">
        <v>757831.8</v>
      </c>
      <c r="AM80" s="9">
        <v>1341152.3500000001</v>
      </c>
      <c r="AN80" s="9">
        <v>77825.399999999994</v>
      </c>
      <c r="AO80" s="9">
        <v>1302710.1499999999</v>
      </c>
      <c r="AP80" s="9">
        <v>849535.95</v>
      </c>
      <c r="AQ80" s="9">
        <v>553262.15</v>
      </c>
      <c r="AR80" s="9">
        <v>342258.95</v>
      </c>
      <c r="AS80" s="9">
        <v>85767.8</v>
      </c>
      <c r="AT80" s="9">
        <v>33794.85</v>
      </c>
      <c r="AU80" s="9">
        <v>479106.75</v>
      </c>
      <c r="AV80" s="9">
        <v>443657.5</v>
      </c>
      <c r="AW80" s="9">
        <v>646703.69999999995</v>
      </c>
      <c r="AX80" s="9">
        <v>624642.80000000005</v>
      </c>
      <c r="AY80" s="9">
        <v>2414741.9</v>
      </c>
      <c r="AZ80" s="9">
        <v>1044495.9</v>
      </c>
      <c r="BA80" s="9">
        <v>26351069.149999999</v>
      </c>
      <c r="BB80" s="9">
        <v>2066400.7</v>
      </c>
      <c r="BC80" s="9">
        <v>378907.1</v>
      </c>
      <c r="BD80" s="9">
        <v>421667.15</v>
      </c>
      <c r="BE80" s="9">
        <v>1319290.55</v>
      </c>
      <c r="BF80" s="9">
        <v>1632258.5</v>
      </c>
      <c r="BG80" s="9">
        <v>304581.59999999998</v>
      </c>
      <c r="BH80" s="9">
        <v>400014.5</v>
      </c>
      <c r="BI80" s="9">
        <v>850552.8</v>
      </c>
      <c r="BJ80" s="9">
        <v>242935.2</v>
      </c>
      <c r="BK80" s="9">
        <v>229014.75</v>
      </c>
      <c r="BL80" s="9">
        <v>2184797.5</v>
      </c>
      <c r="BM80" s="9">
        <v>996697.95</v>
      </c>
      <c r="BN80" s="9">
        <v>938670.7</v>
      </c>
      <c r="BO80" s="9">
        <v>3933837.1</v>
      </c>
      <c r="BP80" s="9">
        <v>2685352.95</v>
      </c>
      <c r="BQ80" s="9">
        <v>1889906.25</v>
      </c>
      <c r="BR80" s="9">
        <v>10529047.25</v>
      </c>
      <c r="BS80" s="9">
        <v>1212719.1000000001</v>
      </c>
      <c r="BT80" s="9">
        <v>2056334.8</v>
      </c>
      <c r="BU80" s="9">
        <v>124417.95</v>
      </c>
      <c r="BV80" s="9">
        <v>351642.7</v>
      </c>
      <c r="BW80" s="9">
        <v>5859210.4000000004</v>
      </c>
      <c r="BX80" s="9">
        <v>288821.8</v>
      </c>
      <c r="BY80" s="9">
        <v>543506.05000000005</v>
      </c>
      <c r="BZ80" s="9">
        <v>919890.5</v>
      </c>
      <c r="CB80" s="3" t="s">
        <v>107</v>
      </c>
    </row>
    <row r="81" spans="1:80" x14ac:dyDescent="0.2">
      <c r="B81" s="30" t="s">
        <v>86</v>
      </c>
      <c r="C81" s="5">
        <f>SUM(D81:BZ81)</f>
        <v>2213415.9500000011</v>
      </c>
      <c r="D81" s="9">
        <v>390944.5</v>
      </c>
      <c r="E81" s="9">
        <v>13807.75</v>
      </c>
      <c r="F81" s="9">
        <v>9945.85</v>
      </c>
      <c r="G81" s="9">
        <v>484.3</v>
      </c>
      <c r="H81" s="9">
        <v>4511.2</v>
      </c>
      <c r="I81" s="9">
        <v>21899.65</v>
      </c>
      <c r="J81" s="9">
        <v>89</v>
      </c>
      <c r="K81" s="9">
        <v>21.45</v>
      </c>
      <c r="L81" s="9">
        <v>6706.5499999999993</v>
      </c>
      <c r="M81" s="9">
        <v>20.75</v>
      </c>
      <c r="N81" s="9">
        <v>21.85</v>
      </c>
      <c r="O81" s="9">
        <v>32924.6</v>
      </c>
      <c r="P81" s="9">
        <v>81174.55</v>
      </c>
      <c r="Q81" s="9">
        <v>881984.89999999991</v>
      </c>
      <c r="R81" s="9">
        <v>6822.35</v>
      </c>
      <c r="S81" s="9">
        <v>73656.049999999988</v>
      </c>
      <c r="T81" s="9">
        <v>38042.100000000006</v>
      </c>
      <c r="U81" s="9">
        <v>1746.6</v>
      </c>
      <c r="V81" s="9">
        <v>11107.600000000002</v>
      </c>
      <c r="W81" s="9">
        <v>6247.4</v>
      </c>
      <c r="X81" s="9">
        <v>10430.1</v>
      </c>
      <c r="Y81" s="9">
        <v>2440.6</v>
      </c>
      <c r="Z81" s="9">
        <v>696.3</v>
      </c>
      <c r="AA81" s="9">
        <v>18422.800000000003</v>
      </c>
      <c r="AB81" s="9">
        <v>346</v>
      </c>
      <c r="AC81" s="9">
        <v>3863.75</v>
      </c>
      <c r="AD81" s="9">
        <v>859</v>
      </c>
      <c r="AE81" s="9">
        <v>1531.75</v>
      </c>
      <c r="AF81" s="9">
        <v>461.6</v>
      </c>
      <c r="AG81" s="9">
        <v>2390.4</v>
      </c>
      <c r="AH81" s="9">
        <v>153615.95000000001</v>
      </c>
      <c r="AI81" s="9">
        <v>9317.4499999999989</v>
      </c>
      <c r="AJ81" s="9">
        <v>-632.95000000000005</v>
      </c>
      <c r="AK81" s="9">
        <v>137.44999999999999</v>
      </c>
      <c r="AL81" s="9">
        <v>236.35</v>
      </c>
      <c r="AM81" s="9">
        <v>4245.6000000000004</v>
      </c>
      <c r="AN81" s="9">
        <v>732.55000000000007</v>
      </c>
      <c r="AO81" s="9">
        <v>2445.0500000000002</v>
      </c>
      <c r="AP81" s="9">
        <v>129.15</v>
      </c>
      <c r="AQ81" s="9">
        <v>1319.3</v>
      </c>
      <c r="AR81" s="9">
        <v>2530.6999999999998</v>
      </c>
      <c r="AS81" s="9">
        <v>1437.6499999999999</v>
      </c>
      <c r="AT81" s="9">
        <v>3216.2999999999997</v>
      </c>
      <c r="AU81" s="9">
        <v>89.05</v>
      </c>
      <c r="AV81" s="9">
        <v>51.75</v>
      </c>
      <c r="AW81" s="9">
        <v>915.5</v>
      </c>
      <c r="AX81" s="9">
        <v>1767.75</v>
      </c>
      <c r="AY81" s="9">
        <v>2267.4499999999998</v>
      </c>
      <c r="AZ81" s="9">
        <v>1547.5</v>
      </c>
      <c r="BA81" s="9">
        <v>48238.65</v>
      </c>
      <c r="BB81" s="9">
        <v>2247.75</v>
      </c>
      <c r="BC81" s="9">
        <v>663.80000000000007</v>
      </c>
      <c r="BD81" s="9">
        <v>78.500000000000014</v>
      </c>
      <c r="BE81" s="9">
        <v>648.4</v>
      </c>
      <c r="BF81" s="9">
        <v>14268.75</v>
      </c>
      <c r="BG81" s="9">
        <v>63229.799999999996</v>
      </c>
      <c r="BH81" s="9">
        <v>4270.0999999999995</v>
      </c>
      <c r="BI81" s="9">
        <v>1593.75</v>
      </c>
      <c r="BJ81" s="9">
        <v>241.3</v>
      </c>
      <c r="BK81" s="9">
        <v>14.8</v>
      </c>
      <c r="BL81" s="9">
        <v>55400.85</v>
      </c>
      <c r="BM81" s="9">
        <v>6579.15</v>
      </c>
      <c r="BN81" s="9">
        <v>6827.25</v>
      </c>
      <c r="BO81" s="9">
        <v>5002</v>
      </c>
      <c r="BP81" s="9">
        <v>26793.300000000003</v>
      </c>
      <c r="BQ81" s="9">
        <v>4652.6000000000004</v>
      </c>
      <c r="BR81" s="9">
        <v>87175.9</v>
      </c>
      <c r="BS81" s="9">
        <v>4787.8500000000004</v>
      </c>
      <c r="BT81" s="9">
        <v>15129.7</v>
      </c>
      <c r="BU81" s="9">
        <v>26.6</v>
      </c>
      <c r="BV81" s="9">
        <v>93.6</v>
      </c>
      <c r="BW81" s="9">
        <v>40242.449999999997</v>
      </c>
      <c r="BX81" s="9">
        <v>170.14999999999998</v>
      </c>
      <c r="BY81" s="9">
        <v>3171.55</v>
      </c>
      <c r="BZ81" s="9">
        <v>12896.55</v>
      </c>
      <c r="CB81" s="3" t="s">
        <v>107</v>
      </c>
    </row>
    <row r="82" spans="1:80" x14ac:dyDescent="0.2">
      <c r="B82" s="30" t="s">
        <v>87</v>
      </c>
      <c r="C82" s="5">
        <f>SUM(D82:BZ82)</f>
        <v>1851465.8500000003</v>
      </c>
      <c r="D82" s="12">
        <v>68966.3</v>
      </c>
      <c r="E82" s="12">
        <v>1370.3000000000002</v>
      </c>
      <c r="F82" s="12">
        <v>0</v>
      </c>
      <c r="G82" s="12">
        <v>0</v>
      </c>
      <c r="H82" s="9">
        <v>0</v>
      </c>
      <c r="I82" s="9">
        <v>0</v>
      </c>
      <c r="J82" s="9">
        <v>0</v>
      </c>
      <c r="K82" s="9">
        <v>0</v>
      </c>
      <c r="L82" s="9">
        <v>541.65</v>
      </c>
      <c r="M82" s="9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719.65</v>
      </c>
      <c r="V82" s="12">
        <v>428368.4</v>
      </c>
      <c r="W82" s="12">
        <v>53556.5</v>
      </c>
      <c r="X82" s="12">
        <v>3077.65</v>
      </c>
      <c r="Y82" s="12">
        <v>0</v>
      </c>
      <c r="Z82" s="12">
        <v>0</v>
      </c>
      <c r="AA82" s="12">
        <v>39071.15</v>
      </c>
      <c r="AB82" s="12">
        <v>0</v>
      </c>
      <c r="AC82" s="12">
        <v>0</v>
      </c>
      <c r="AD82" s="12">
        <v>0</v>
      </c>
      <c r="AE82" s="12">
        <v>3675.65</v>
      </c>
      <c r="AF82" s="12">
        <v>0</v>
      </c>
      <c r="AG82" s="12">
        <v>0</v>
      </c>
      <c r="AH82" s="12">
        <v>0</v>
      </c>
      <c r="AI82" s="12">
        <v>1094.9000000000001</v>
      </c>
      <c r="AJ82" s="12">
        <v>0</v>
      </c>
      <c r="AK82" s="12">
        <v>410.65</v>
      </c>
      <c r="AL82" s="12">
        <v>15485.35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2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2">
        <v>36400</v>
      </c>
      <c r="BB82" s="12">
        <v>34419.050000000003</v>
      </c>
      <c r="BC82" s="12">
        <v>0</v>
      </c>
      <c r="BD82" s="12">
        <v>0</v>
      </c>
      <c r="BE82" s="12">
        <v>0</v>
      </c>
      <c r="BF82" s="12">
        <v>134684.6</v>
      </c>
      <c r="BG82" s="12">
        <v>0</v>
      </c>
      <c r="BH82" s="9">
        <v>0</v>
      </c>
      <c r="BI82" s="12">
        <v>0</v>
      </c>
      <c r="BJ82" s="12">
        <v>0</v>
      </c>
      <c r="BK82" s="12">
        <v>0</v>
      </c>
      <c r="BL82" s="12">
        <v>0</v>
      </c>
      <c r="BM82" s="12">
        <v>0</v>
      </c>
      <c r="BN82" s="12">
        <v>0</v>
      </c>
      <c r="BO82" s="12">
        <v>1013226.35</v>
      </c>
      <c r="BP82" s="12">
        <v>15571.85</v>
      </c>
      <c r="BQ82" s="12">
        <v>0</v>
      </c>
      <c r="BR82" s="12">
        <v>825.85</v>
      </c>
      <c r="BS82" s="12">
        <v>0</v>
      </c>
      <c r="BT82" s="12">
        <v>0</v>
      </c>
      <c r="BU82" s="12">
        <v>0</v>
      </c>
      <c r="BV82" s="12">
        <v>0</v>
      </c>
      <c r="BW82" s="12">
        <v>0</v>
      </c>
      <c r="BX82" s="12">
        <v>0</v>
      </c>
      <c r="BY82" s="12">
        <v>0</v>
      </c>
      <c r="BZ82" s="12">
        <v>0</v>
      </c>
      <c r="CB82" s="38"/>
    </row>
    <row r="83" spans="1:80" s="32" customFormat="1" x14ac:dyDescent="0.2">
      <c r="A83" s="21"/>
      <c r="B83" s="32" t="s">
        <v>90</v>
      </c>
      <c r="C83" s="15">
        <f>SUM(D83:BZ83)</f>
        <v>194317399.55000007</v>
      </c>
      <c r="D83" s="15">
        <f>D80-D81-D82</f>
        <v>47820525.900000006</v>
      </c>
      <c r="E83" s="15">
        <f t="shared" ref="E83:BN83" si="40">E80-E81-E82</f>
        <v>1489398.8499999999</v>
      </c>
      <c r="F83" s="15">
        <f t="shared" si="40"/>
        <v>150501.69999999998</v>
      </c>
      <c r="G83" s="15">
        <f t="shared" si="40"/>
        <v>67813.099999999991</v>
      </c>
      <c r="H83" s="15">
        <f t="shared" si="40"/>
        <v>926667.60000000009</v>
      </c>
      <c r="I83" s="15">
        <f t="shared" si="40"/>
        <v>5862521.25</v>
      </c>
      <c r="J83" s="15">
        <f t="shared" si="40"/>
        <v>1495249</v>
      </c>
      <c r="K83" s="15">
        <f t="shared" si="40"/>
        <v>21762.1</v>
      </c>
      <c r="L83" s="15">
        <f t="shared" si="40"/>
        <v>475826</v>
      </c>
      <c r="M83" s="15">
        <f t="shared" si="40"/>
        <v>89666.2</v>
      </c>
      <c r="N83" s="15">
        <f t="shared" si="40"/>
        <v>105182.9</v>
      </c>
      <c r="O83" s="15">
        <f t="shared" si="40"/>
        <v>922305.75</v>
      </c>
      <c r="P83" s="15">
        <f t="shared" si="40"/>
        <v>3679415.9000000004</v>
      </c>
      <c r="Q83" s="15">
        <f t="shared" si="40"/>
        <v>2076818.9500000002</v>
      </c>
      <c r="R83" s="15">
        <f t="shared" si="40"/>
        <v>728684.75</v>
      </c>
      <c r="S83" s="15">
        <f t="shared" si="40"/>
        <v>1377110.5</v>
      </c>
      <c r="T83" s="15">
        <f t="shared" si="40"/>
        <v>4773559.0500000007</v>
      </c>
      <c r="U83" s="15">
        <f t="shared" si="40"/>
        <v>1193818.6499999999</v>
      </c>
      <c r="V83" s="15">
        <f t="shared" si="40"/>
        <v>5712172.8499999996</v>
      </c>
      <c r="W83" s="15">
        <f t="shared" si="40"/>
        <v>2156356.25</v>
      </c>
      <c r="X83" s="15">
        <f t="shared" si="40"/>
        <v>6574595.2999999998</v>
      </c>
      <c r="Y83" s="15">
        <f t="shared" si="40"/>
        <v>2193615.75</v>
      </c>
      <c r="Z83" s="15">
        <f t="shared" si="40"/>
        <v>224306.1</v>
      </c>
      <c r="AA83" s="15">
        <f t="shared" si="40"/>
        <v>4111593.1500000004</v>
      </c>
      <c r="AB83" s="15">
        <f t="shared" si="40"/>
        <v>89105.95</v>
      </c>
      <c r="AC83" s="15">
        <f t="shared" si="40"/>
        <v>2987228.4</v>
      </c>
      <c r="AD83" s="15">
        <f t="shared" si="40"/>
        <v>701861.65</v>
      </c>
      <c r="AE83" s="15">
        <f t="shared" si="40"/>
        <v>5448836.5</v>
      </c>
      <c r="AF83" s="15">
        <f t="shared" si="40"/>
        <v>453365.85000000003</v>
      </c>
      <c r="AG83" s="15">
        <f t="shared" si="40"/>
        <v>1116388.9000000001</v>
      </c>
      <c r="AH83" s="15">
        <f t="shared" si="40"/>
        <v>7501920.8499999996</v>
      </c>
      <c r="AI83" s="15">
        <f t="shared" si="40"/>
        <v>1565116.1500000001</v>
      </c>
      <c r="AJ83" s="15">
        <f t="shared" si="40"/>
        <v>792612.64999999991</v>
      </c>
      <c r="AK83" s="15">
        <f t="shared" si="40"/>
        <v>1400451.9500000002</v>
      </c>
      <c r="AL83" s="15">
        <f t="shared" si="40"/>
        <v>742110.10000000009</v>
      </c>
      <c r="AM83" s="15">
        <f t="shared" si="40"/>
        <v>1336906.75</v>
      </c>
      <c r="AN83" s="15">
        <f t="shared" si="40"/>
        <v>77092.849999999991</v>
      </c>
      <c r="AO83" s="15">
        <f t="shared" si="40"/>
        <v>1300265.0999999999</v>
      </c>
      <c r="AP83" s="15">
        <f t="shared" si="40"/>
        <v>849406.79999999993</v>
      </c>
      <c r="AQ83" s="15">
        <f t="shared" si="40"/>
        <v>551942.85</v>
      </c>
      <c r="AR83" s="15">
        <f t="shared" si="40"/>
        <v>339728.25</v>
      </c>
      <c r="AS83" s="15">
        <f t="shared" si="40"/>
        <v>84330.150000000009</v>
      </c>
      <c r="AT83" s="15">
        <f t="shared" si="40"/>
        <v>30578.55</v>
      </c>
      <c r="AU83" s="15">
        <f t="shared" si="40"/>
        <v>479017.7</v>
      </c>
      <c r="AV83" s="15">
        <f t="shared" si="40"/>
        <v>443605.75</v>
      </c>
      <c r="AW83" s="15">
        <f t="shared" si="40"/>
        <v>645788.19999999995</v>
      </c>
      <c r="AX83" s="15">
        <f t="shared" si="40"/>
        <v>622875.05000000005</v>
      </c>
      <c r="AY83" s="15">
        <f t="shared" si="40"/>
        <v>2412474.4499999997</v>
      </c>
      <c r="AZ83" s="15">
        <f t="shared" si="40"/>
        <v>1042948.4</v>
      </c>
      <c r="BA83" s="15">
        <f t="shared" si="40"/>
        <v>26266430.5</v>
      </c>
      <c r="BB83" s="15">
        <f t="shared" si="40"/>
        <v>2029733.9</v>
      </c>
      <c r="BC83" s="15">
        <f t="shared" si="40"/>
        <v>378243.3</v>
      </c>
      <c r="BD83" s="15">
        <f t="shared" si="40"/>
        <v>421588.65</v>
      </c>
      <c r="BE83" s="15">
        <f t="shared" si="40"/>
        <v>1318642.1500000001</v>
      </c>
      <c r="BF83" s="15">
        <f t="shared" si="40"/>
        <v>1483305.15</v>
      </c>
      <c r="BG83" s="15">
        <f t="shared" si="40"/>
        <v>241351.8</v>
      </c>
      <c r="BH83" s="15">
        <f t="shared" si="40"/>
        <v>395744.4</v>
      </c>
      <c r="BI83" s="15">
        <f t="shared" si="40"/>
        <v>848959.05</v>
      </c>
      <c r="BJ83" s="15">
        <f t="shared" si="40"/>
        <v>242693.90000000002</v>
      </c>
      <c r="BK83" s="15">
        <f t="shared" si="40"/>
        <v>228999.95</v>
      </c>
      <c r="BL83" s="15">
        <f t="shared" si="40"/>
        <v>2129396.65</v>
      </c>
      <c r="BM83" s="15">
        <f t="shared" si="40"/>
        <v>990118.79999999993</v>
      </c>
      <c r="BN83" s="15">
        <f t="shared" si="40"/>
        <v>931843.45</v>
      </c>
      <c r="BO83" s="15">
        <f t="shared" ref="BO83:BZ83" si="41">BO80-BO81-BO82</f>
        <v>2915608.75</v>
      </c>
      <c r="BP83" s="15">
        <f t="shared" si="41"/>
        <v>2642987.8000000003</v>
      </c>
      <c r="BQ83" s="15">
        <f t="shared" si="41"/>
        <v>1885253.65</v>
      </c>
      <c r="BR83" s="15">
        <f t="shared" si="41"/>
        <v>10441045.5</v>
      </c>
      <c r="BS83" s="15">
        <f t="shared" si="41"/>
        <v>1207931.25</v>
      </c>
      <c r="BT83" s="15">
        <f t="shared" si="41"/>
        <v>2041205.1</v>
      </c>
      <c r="BU83" s="15">
        <f t="shared" si="41"/>
        <v>124391.34999999999</v>
      </c>
      <c r="BV83" s="15">
        <f t="shared" si="41"/>
        <v>351549.10000000003</v>
      </c>
      <c r="BW83" s="15">
        <f t="shared" si="41"/>
        <v>5818967.9500000002</v>
      </c>
      <c r="BX83" s="15">
        <f t="shared" si="41"/>
        <v>288651.64999999997</v>
      </c>
      <c r="BY83" s="15">
        <f t="shared" si="41"/>
        <v>540334.5</v>
      </c>
      <c r="BZ83" s="15">
        <f t="shared" si="41"/>
        <v>906993.95</v>
      </c>
      <c r="CA83" s="21"/>
      <c r="CB83" s="21"/>
    </row>
    <row r="84" spans="1:80" x14ac:dyDescent="0.2">
      <c r="B84" s="30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80" s="32" customFormat="1" x14ac:dyDescent="0.2">
      <c r="A85" s="25" t="s">
        <v>143</v>
      </c>
      <c r="B85" s="26" t="s">
        <v>84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27"/>
      <c r="CB85" s="35"/>
    </row>
    <row r="86" spans="1:80" x14ac:dyDescent="0.2">
      <c r="B86" s="30" t="s">
        <v>91</v>
      </c>
      <c r="C86" s="45">
        <f>C90/C92</f>
        <v>0.69220144744871159</v>
      </c>
      <c r="D86" s="12">
        <v>0.8</v>
      </c>
      <c r="E86" s="12">
        <v>0.8</v>
      </c>
      <c r="F86" s="12">
        <v>0.8</v>
      </c>
      <c r="G86" s="12">
        <v>0.8</v>
      </c>
      <c r="H86" s="12">
        <v>0.2</v>
      </c>
      <c r="I86" s="12">
        <v>0.4</v>
      </c>
      <c r="J86" s="12">
        <v>0.6</v>
      </c>
      <c r="K86" s="12">
        <v>0.3</v>
      </c>
      <c r="L86" s="12">
        <v>0.2</v>
      </c>
      <c r="M86" s="12">
        <v>0.8</v>
      </c>
      <c r="N86" s="12">
        <v>0.8</v>
      </c>
      <c r="O86" s="12">
        <v>0.8</v>
      </c>
      <c r="P86" s="12">
        <v>0.8</v>
      </c>
      <c r="Q86" s="12">
        <v>0.4</v>
      </c>
      <c r="R86" s="12">
        <v>0.8</v>
      </c>
      <c r="S86" s="12">
        <v>0.8</v>
      </c>
      <c r="T86" s="12">
        <v>0.4</v>
      </c>
      <c r="U86" s="12">
        <v>0.8</v>
      </c>
      <c r="V86" s="12">
        <v>0.6</v>
      </c>
      <c r="W86" s="12">
        <v>0.6</v>
      </c>
      <c r="X86" s="12">
        <v>0.8</v>
      </c>
      <c r="Y86" s="12">
        <v>0.8</v>
      </c>
      <c r="Z86" s="12">
        <v>0.8</v>
      </c>
      <c r="AA86" s="12">
        <v>0.8</v>
      </c>
      <c r="AB86" s="12">
        <v>0.8</v>
      </c>
      <c r="AC86" s="12">
        <v>0.8</v>
      </c>
      <c r="AD86" s="12">
        <v>0.8</v>
      </c>
      <c r="AE86" s="12">
        <v>0.8</v>
      </c>
      <c r="AF86" s="12">
        <v>0.8</v>
      </c>
      <c r="AG86" s="12">
        <v>0.8</v>
      </c>
      <c r="AH86" s="12">
        <v>0.7</v>
      </c>
      <c r="AI86" s="12">
        <v>0.8</v>
      </c>
      <c r="AJ86" s="12">
        <v>0.7</v>
      </c>
      <c r="AK86" s="12">
        <v>0.8</v>
      </c>
      <c r="AL86" s="12">
        <v>0.8</v>
      </c>
      <c r="AM86" s="12">
        <v>0.8</v>
      </c>
      <c r="AN86" s="12">
        <v>0.8</v>
      </c>
      <c r="AO86" s="12">
        <v>0.8</v>
      </c>
      <c r="AP86" s="12">
        <v>0.8</v>
      </c>
      <c r="AQ86" s="12">
        <v>0.8</v>
      </c>
      <c r="AR86" s="12">
        <v>0.8</v>
      </c>
      <c r="AS86" s="12">
        <v>0.8</v>
      </c>
      <c r="AT86" s="12">
        <v>0.8</v>
      </c>
      <c r="AU86" s="12">
        <v>0.8</v>
      </c>
      <c r="AV86" s="12">
        <v>0.8</v>
      </c>
      <c r="AW86" s="12">
        <v>0.8</v>
      </c>
      <c r="AX86" s="12">
        <v>0.8</v>
      </c>
      <c r="AY86" s="12">
        <v>0.8</v>
      </c>
      <c r="AZ86" s="12">
        <v>0.8</v>
      </c>
      <c r="BA86" s="12">
        <v>0.3</v>
      </c>
      <c r="BB86" s="12">
        <v>0.8</v>
      </c>
      <c r="BC86" s="12">
        <v>0.8</v>
      </c>
      <c r="BD86" s="12">
        <v>0.8</v>
      </c>
      <c r="BE86" s="12">
        <v>0.8</v>
      </c>
      <c r="BF86" s="12">
        <v>0.8</v>
      </c>
      <c r="BG86" s="12">
        <v>0.8</v>
      </c>
      <c r="BH86" s="12">
        <v>0.8</v>
      </c>
      <c r="BI86" s="12">
        <v>0.8</v>
      </c>
      <c r="BJ86" s="12">
        <v>0.8</v>
      </c>
      <c r="BK86" s="12">
        <v>0.5</v>
      </c>
      <c r="BL86" s="12">
        <v>0.8</v>
      </c>
      <c r="BM86" s="12">
        <v>0.8</v>
      </c>
      <c r="BN86" s="12">
        <v>0.8</v>
      </c>
      <c r="BO86" s="12">
        <v>0.6</v>
      </c>
      <c r="BP86" s="12">
        <v>0.8</v>
      </c>
      <c r="BQ86" s="12">
        <v>0.8</v>
      </c>
      <c r="BR86" s="12">
        <v>0.6</v>
      </c>
      <c r="BS86" s="12">
        <v>0.4</v>
      </c>
      <c r="BT86" s="12">
        <v>0.3</v>
      </c>
      <c r="BU86" s="12">
        <v>0.8</v>
      </c>
      <c r="BV86" s="12">
        <v>0.4</v>
      </c>
      <c r="BW86" s="12">
        <v>0.6</v>
      </c>
      <c r="BX86" s="12">
        <v>0.6</v>
      </c>
      <c r="BY86" s="12">
        <v>0.8</v>
      </c>
      <c r="BZ86" s="12">
        <v>0.8</v>
      </c>
      <c r="CB86" s="3" t="s">
        <v>109</v>
      </c>
    </row>
    <row r="87" spans="1:80" x14ac:dyDescent="0.2">
      <c r="B87" s="40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80" x14ac:dyDescent="0.2">
      <c r="B88" s="30" t="s">
        <v>81</v>
      </c>
      <c r="C88" s="5">
        <f>SUM(D88:BZ88)</f>
        <v>93103524.079999998</v>
      </c>
      <c r="D88" s="12">
        <v>16788831</v>
      </c>
      <c r="E88" s="12">
        <v>1686365</v>
      </c>
      <c r="F88" s="12">
        <v>266260.59999999998</v>
      </c>
      <c r="G88" s="12">
        <v>218189.85</v>
      </c>
      <c r="H88" s="12">
        <v>247936.25</v>
      </c>
      <c r="I88" s="12">
        <v>983433.64</v>
      </c>
      <c r="J88" s="12">
        <v>596669.9</v>
      </c>
      <c r="K88" s="12">
        <v>66587.600000000006</v>
      </c>
      <c r="L88" s="12">
        <v>98667.15</v>
      </c>
      <c r="M88" s="12">
        <v>207316.65</v>
      </c>
      <c r="N88" s="12">
        <v>429205.45</v>
      </c>
      <c r="O88" s="12">
        <v>1495847.7</v>
      </c>
      <c r="P88" s="12">
        <v>1694524.5</v>
      </c>
      <c r="Q88" s="12">
        <v>797628.54</v>
      </c>
      <c r="R88" s="12">
        <v>636310.69999999995</v>
      </c>
      <c r="S88" s="12">
        <v>1199879</v>
      </c>
      <c r="T88" s="12">
        <v>841222.4</v>
      </c>
      <c r="U88" s="12">
        <v>881909.65</v>
      </c>
      <c r="V88" s="12">
        <v>903831.75</v>
      </c>
      <c r="W88" s="12">
        <v>1088349.8500000001</v>
      </c>
      <c r="X88" s="12">
        <v>2382157.06</v>
      </c>
      <c r="Y88" s="12">
        <v>815077</v>
      </c>
      <c r="Z88" s="12">
        <v>410174.2</v>
      </c>
      <c r="AA88" s="12">
        <v>2364381.7999999998</v>
      </c>
      <c r="AB88" s="12">
        <v>282672.65000000002</v>
      </c>
      <c r="AC88" s="12">
        <v>1840712</v>
      </c>
      <c r="AD88" s="12">
        <v>519454.85</v>
      </c>
      <c r="AE88" s="12">
        <v>1355396.87</v>
      </c>
      <c r="AF88" s="12">
        <v>646614.4</v>
      </c>
      <c r="AG88" s="12">
        <v>1305003.25</v>
      </c>
      <c r="AH88" s="12">
        <v>2326920</v>
      </c>
      <c r="AI88" s="12">
        <v>986091.8</v>
      </c>
      <c r="AJ88" s="12">
        <v>846919.9</v>
      </c>
      <c r="AK88" s="12">
        <v>1197021.3999999999</v>
      </c>
      <c r="AL88" s="12">
        <v>1023170</v>
      </c>
      <c r="AM88" s="12">
        <v>1622383.8</v>
      </c>
      <c r="AN88" s="12">
        <v>416081.3</v>
      </c>
      <c r="AO88" s="12">
        <v>1798820.25</v>
      </c>
      <c r="AP88" s="12">
        <v>1144166.75</v>
      </c>
      <c r="AQ88" s="12">
        <v>1157974.7</v>
      </c>
      <c r="AR88" s="12">
        <v>899217.4</v>
      </c>
      <c r="AS88" s="12">
        <v>524171.75</v>
      </c>
      <c r="AT88" s="12">
        <v>410217.8</v>
      </c>
      <c r="AU88" s="12">
        <v>704354.36</v>
      </c>
      <c r="AV88" s="12">
        <v>553201.9</v>
      </c>
      <c r="AW88" s="12">
        <v>827927.7</v>
      </c>
      <c r="AX88" s="12">
        <v>1224179.3</v>
      </c>
      <c r="AY88" s="12">
        <v>1315290.3999999999</v>
      </c>
      <c r="AZ88" s="12">
        <v>860163</v>
      </c>
      <c r="BA88" s="12">
        <v>2890926.25</v>
      </c>
      <c r="BB88" s="12">
        <v>2045022.19</v>
      </c>
      <c r="BC88" s="12">
        <v>819864</v>
      </c>
      <c r="BD88" s="12">
        <v>597728.05000000005</v>
      </c>
      <c r="BE88" s="12">
        <v>891655.12</v>
      </c>
      <c r="BF88" s="12">
        <v>1459668.95</v>
      </c>
      <c r="BG88" s="12">
        <v>299691.8</v>
      </c>
      <c r="BH88" s="12">
        <v>935961.1</v>
      </c>
      <c r="BI88" s="12">
        <v>838220.2</v>
      </c>
      <c r="BJ88" s="12">
        <v>260222.15</v>
      </c>
      <c r="BK88" s="12">
        <v>265512.24</v>
      </c>
      <c r="BL88" s="12">
        <v>1762365.4</v>
      </c>
      <c r="BM88" s="12">
        <v>890074.59</v>
      </c>
      <c r="BN88" s="12">
        <v>1121188.43</v>
      </c>
      <c r="BO88" s="12">
        <v>1805198.8</v>
      </c>
      <c r="BP88" s="12">
        <v>1638898.95</v>
      </c>
      <c r="BQ88" s="12">
        <v>637021.15</v>
      </c>
      <c r="BR88" s="12">
        <v>3790482.1</v>
      </c>
      <c r="BS88" s="12">
        <v>564072.27</v>
      </c>
      <c r="BT88" s="12">
        <v>377923</v>
      </c>
      <c r="BU88" s="12">
        <v>288455.55</v>
      </c>
      <c r="BV88" s="12">
        <v>297694.65000000002</v>
      </c>
      <c r="BW88" s="12">
        <v>2928606.01</v>
      </c>
      <c r="BX88" s="12">
        <v>296643.8</v>
      </c>
      <c r="BY88" s="12">
        <v>680479.36</v>
      </c>
      <c r="BZ88" s="12">
        <v>1831063.2</v>
      </c>
      <c r="CB88" s="3" t="s">
        <v>108</v>
      </c>
    </row>
    <row r="89" spans="1:80" x14ac:dyDescent="0.2">
      <c r="B89" s="30" t="s">
        <v>82</v>
      </c>
      <c r="C89" s="5">
        <f>SUM(D89:BZ89)</f>
        <v>5735.05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20.2</v>
      </c>
      <c r="O89" s="12">
        <v>0</v>
      </c>
      <c r="P89" s="12">
        <v>0</v>
      </c>
      <c r="Q89" s="12">
        <v>168.64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7.25</v>
      </c>
      <c r="AB89" s="12">
        <v>0</v>
      </c>
      <c r="AC89" s="12">
        <v>2</v>
      </c>
      <c r="AD89" s="12">
        <v>0</v>
      </c>
      <c r="AE89" s="12">
        <v>16.690000000000001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2.21</v>
      </c>
      <c r="AL89" s="12">
        <v>0</v>
      </c>
      <c r="AM89" s="12">
        <v>0</v>
      </c>
      <c r="AN89" s="12">
        <v>1.19</v>
      </c>
      <c r="AO89" s="12">
        <v>0</v>
      </c>
      <c r="AP89" s="12">
        <v>6.07</v>
      </c>
      <c r="AQ89" s="12">
        <v>5.37</v>
      </c>
      <c r="AR89" s="12">
        <v>0</v>
      </c>
      <c r="AS89" s="12">
        <v>0</v>
      </c>
      <c r="AT89" s="12">
        <v>0</v>
      </c>
      <c r="AU89" s="12">
        <v>0</v>
      </c>
      <c r="AV89" s="12">
        <v>0</v>
      </c>
      <c r="AW89" s="12">
        <v>2.85</v>
      </c>
      <c r="AX89" s="12">
        <v>1.17</v>
      </c>
      <c r="AY89" s="12">
        <v>2.2999999999999998</v>
      </c>
      <c r="AZ89" s="12">
        <v>0</v>
      </c>
      <c r="BA89" s="12">
        <v>0</v>
      </c>
      <c r="BB89" s="12">
        <v>7.8</v>
      </c>
      <c r="BC89" s="12">
        <v>182.2</v>
      </c>
      <c r="BD89" s="12">
        <v>7.55</v>
      </c>
      <c r="BE89" s="12">
        <v>0</v>
      </c>
      <c r="BF89" s="12">
        <v>0</v>
      </c>
      <c r="BG89" s="12">
        <v>0</v>
      </c>
      <c r="BH89" s="12">
        <v>0</v>
      </c>
      <c r="BI89" s="12">
        <v>0</v>
      </c>
      <c r="BJ89" s="12">
        <v>0</v>
      </c>
      <c r="BK89" s="12">
        <v>29.13</v>
      </c>
      <c r="BL89" s="12">
        <v>2223.25</v>
      </c>
      <c r="BM89" s="12">
        <v>0</v>
      </c>
      <c r="BN89" s="12">
        <v>1190</v>
      </c>
      <c r="BO89" s="12">
        <v>956.78</v>
      </c>
      <c r="BP89" s="12">
        <v>901.6</v>
      </c>
      <c r="BQ89" s="12">
        <v>0</v>
      </c>
      <c r="BR89" s="12">
        <v>0</v>
      </c>
      <c r="BS89" s="12">
        <v>0</v>
      </c>
      <c r="BT89" s="12">
        <v>0.8</v>
      </c>
      <c r="BU89" s="12">
        <v>0</v>
      </c>
      <c r="BV89" s="12">
        <v>0</v>
      </c>
      <c r="BW89" s="12">
        <v>0</v>
      </c>
      <c r="BX89" s="12">
        <v>0</v>
      </c>
      <c r="BY89" s="12">
        <v>0</v>
      </c>
      <c r="BZ89" s="12">
        <v>0</v>
      </c>
      <c r="CB89" s="3" t="s">
        <v>108</v>
      </c>
    </row>
    <row r="90" spans="1:80" x14ac:dyDescent="0.2">
      <c r="B90" s="30" t="s">
        <v>83</v>
      </c>
      <c r="C90" s="5">
        <f>SUM(D90:BZ90)</f>
        <v>93097789.029999986</v>
      </c>
      <c r="D90" s="5">
        <f>D88-D89</f>
        <v>16788831</v>
      </c>
      <c r="E90" s="5">
        <f t="shared" ref="E90:BN90" si="42">E88-E89</f>
        <v>1686365</v>
      </c>
      <c r="F90" s="5">
        <f t="shared" si="42"/>
        <v>266260.59999999998</v>
      </c>
      <c r="G90" s="5">
        <f t="shared" si="42"/>
        <v>218189.85</v>
      </c>
      <c r="H90" s="5">
        <f t="shared" si="42"/>
        <v>247936.25</v>
      </c>
      <c r="I90" s="5">
        <f t="shared" si="42"/>
        <v>983433.64</v>
      </c>
      <c r="J90" s="5">
        <f t="shared" si="42"/>
        <v>596669.9</v>
      </c>
      <c r="K90" s="5">
        <f t="shared" si="42"/>
        <v>66587.600000000006</v>
      </c>
      <c r="L90" s="5">
        <f t="shared" si="42"/>
        <v>98667.15</v>
      </c>
      <c r="M90" s="5">
        <f t="shared" si="42"/>
        <v>207316.65</v>
      </c>
      <c r="N90" s="5">
        <f t="shared" si="42"/>
        <v>429185.25</v>
      </c>
      <c r="O90" s="5">
        <f t="shared" si="42"/>
        <v>1495847.7</v>
      </c>
      <c r="P90" s="5">
        <f t="shared" si="42"/>
        <v>1694524.5</v>
      </c>
      <c r="Q90" s="5">
        <f t="shared" si="42"/>
        <v>797459.9</v>
      </c>
      <c r="R90" s="5">
        <f t="shared" si="42"/>
        <v>636310.69999999995</v>
      </c>
      <c r="S90" s="5">
        <f t="shared" si="42"/>
        <v>1199879</v>
      </c>
      <c r="T90" s="5">
        <f t="shared" si="42"/>
        <v>841222.4</v>
      </c>
      <c r="U90" s="5">
        <f t="shared" si="42"/>
        <v>881909.65</v>
      </c>
      <c r="V90" s="5">
        <f t="shared" si="42"/>
        <v>903831.75</v>
      </c>
      <c r="W90" s="5">
        <f t="shared" si="42"/>
        <v>1088349.8500000001</v>
      </c>
      <c r="X90" s="5">
        <f t="shared" si="42"/>
        <v>2382157.06</v>
      </c>
      <c r="Y90" s="5">
        <f t="shared" si="42"/>
        <v>815077</v>
      </c>
      <c r="Z90" s="5">
        <f t="shared" si="42"/>
        <v>410174.2</v>
      </c>
      <c r="AA90" s="5">
        <f t="shared" si="42"/>
        <v>2364374.5499999998</v>
      </c>
      <c r="AB90" s="5">
        <f t="shared" si="42"/>
        <v>282672.65000000002</v>
      </c>
      <c r="AC90" s="5">
        <f t="shared" si="42"/>
        <v>1840710</v>
      </c>
      <c r="AD90" s="5">
        <f t="shared" si="42"/>
        <v>519454.85</v>
      </c>
      <c r="AE90" s="5">
        <f t="shared" si="42"/>
        <v>1355380.1800000002</v>
      </c>
      <c r="AF90" s="5">
        <f t="shared" si="42"/>
        <v>646614.4</v>
      </c>
      <c r="AG90" s="5">
        <f t="shared" si="42"/>
        <v>1305003.25</v>
      </c>
      <c r="AH90" s="5">
        <f t="shared" si="42"/>
        <v>2326920</v>
      </c>
      <c r="AI90" s="5">
        <f t="shared" si="42"/>
        <v>986091.8</v>
      </c>
      <c r="AJ90" s="5">
        <f t="shared" si="42"/>
        <v>846919.9</v>
      </c>
      <c r="AK90" s="5">
        <f t="shared" si="42"/>
        <v>1197019.19</v>
      </c>
      <c r="AL90" s="5">
        <f t="shared" si="42"/>
        <v>1023170</v>
      </c>
      <c r="AM90" s="5">
        <f t="shared" si="42"/>
        <v>1622383.8</v>
      </c>
      <c r="AN90" s="5">
        <f t="shared" si="42"/>
        <v>416080.11</v>
      </c>
      <c r="AO90" s="5">
        <f t="shared" si="42"/>
        <v>1798820.25</v>
      </c>
      <c r="AP90" s="5">
        <f t="shared" si="42"/>
        <v>1144160.68</v>
      </c>
      <c r="AQ90" s="5">
        <f t="shared" si="42"/>
        <v>1157969.3299999998</v>
      </c>
      <c r="AR90" s="5">
        <f t="shared" si="42"/>
        <v>899217.4</v>
      </c>
      <c r="AS90" s="5">
        <f t="shared" si="42"/>
        <v>524171.75</v>
      </c>
      <c r="AT90" s="5">
        <f t="shared" si="42"/>
        <v>410217.8</v>
      </c>
      <c r="AU90" s="5">
        <f t="shared" si="42"/>
        <v>704354.36</v>
      </c>
      <c r="AV90" s="5">
        <f t="shared" si="42"/>
        <v>553201.9</v>
      </c>
      <c r="AW90" s="5">
        <f t="shared" si="42"/>
        <v>827924.85</v>
      </c>
      <c r="AX90" s="5">
        <f t="shared" si="42"/>
        <v>1224178.1300000001</v>
      </c>
      <c r="AY90" s="5">
        <f t="shared" si="42"/>
        <v>1315288.0999999999</v>
      </c>
      <c r="AZ90" s="5">
        <f t="shared" si="42"/>
        <v>860163</v>
      </c>
      <c r="BA90" s="5">
        <f t="shared" si="42"/>
        <v>2890926.25</v>
      </c>
      <c r="BB90" s="5">
        <f t="shared" si="42"/>
        <v>2045014.39</v>
      </c>
      <c r="BC90" s="5">
        <f t="shared" si="42"/>
        <v>819681.8</v>
      </c>
      <c r="BD90" s="5">
        <f t="shared" si="42"/>
        <v>597720.5</v>
      </c>
      <c r="BE90" s="5">
        <f t="shared" si="42"/>
        <v>891655.12</v>
      </c>
      <c r="BF90" s="5">
        <f t="shared" si="42"/>
        <v>1459668.95</v>
      </c>
      <c r="BG90" s="5">
        <f t="shared" si="42"/>
        <v>299691.8</v>
      </c>
      <c r="BH90" s="5">
        <f t="shared" ref="BH90" si="43">BH88-BH89</f>
        <v>935961.1</v>
      </c>
      <c r="BI90" s="5">
        <f t="shared" si="42"/>
        <v>838220.2</v>
      </c>
      <c r="BJ90" s="5">
        <f t="shared" si="42"/>
        <v>260222.15</v>
      </c>
      <c r="BK90" s="5">
        <f t="shared" si="42"/>
        <v>265483.11</v>
      </c>
      <c r="BL90" s="5">
        <f t="shared" si="42"/>
        <v>1760142.15</v>
      </c>
      <c r="BM90" s="5">
        <f t="shared" si="42"/>
        <v>890074.59</v>
      </c>
      <c r="BN90" s="5">
        <f t="shared" si="42"/>
        <v>1119998.43</v>
      </c>
      <c r="BO90" s="5">
        <f t="shared" ref="BO90:BZ90" si="44">BO88-BO89</f>
        <v>1804242.02</v>
      </c>
      <c r="BP90" s="5">
        <f t="shared" si="44"/>
        <v>1637997.3499999999</v>
      </c>
      <c r="BQ90" s="5">
        <f t="shared" si="44"/>
        <v>637021.15</v>
      </c>
      <c r="BR90" s="5">
        <f t="shared" si="44"/>
        <v>3790482.1</v>
      </c>
      <c r="BS90" s="5">
        <f t="shared" si="44"/>
        <v>564072.27</v>
      </c>
      <c r="BT90" s="5">
        <f t="shared" si="44"/>
        <v>377922.2</v>
      </c>
      <c r="BU90" s="5">
        <f t="shared" si="44"/>
        <v>288455.55</v>
      </c>
      <c r="BV90" s="5">
        <f t="shared" si="44"/>
        <v>297694.65000000002</v>
      </c>
      <c r="BW90" s="5">
        <f t="shared" si="44"/>
        <v>2928606.01</v>
      </c>
      <c r="BX90" s="5">
        <f t="shared" si="44"/>
        <v>296643.8</v>
      </c>
      <c r="BY90" s="5">
        <f t="shared" si="44"/>
        <v>680479.36</v>
      </c>
      <c r="BZ90" s="5">
        <f t="shared" si="44"/>
        <v>1831063.2</v>
      </c>
    </row>
    <row r="91" spans="1:80" x14ac:dyDescent="0.2">
      <c r="B91" s="30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80" x14ac:dyDescent="0.2">
      <c r="B92" s="30" t="s">
        <v>92</v>
      </c>
      <c r="C92" s="5">
        <f>SUM(D92:BZ92)</f>
        <v>134495224.43666667</v>
      </c>
      <c r="D92" s="5">
        <f>D90/D86</f>
        <v>20986038.75</v>
      </c>
      <c r="E92" s="5">
        <f t="shared" ref="E92:BN92" si="45">E90/E86</f>
        <v>2107956.25</v>
      </c>
      <c r="F92" s="5">
        <f t="shared" si="45"/>
        <v>332825.74999999994</v>
      </c>
      <c r="G92" s="5">
        <f t="shared" si="45"/>
        <v>272737.3125</v>
      </c>
      <c r="H92" s="5">
        <f t="shared" si="45"/>
        <v>1239681.25</v>
      </c>
      <c r="I92" s="5">
        <f t="shared" si="45"/>
        <v>2458584.1</v>
      </c>
      <c r="J92" s="5">
        <f t="shared" si="45"/>
        <v>994449.83333333337</v>
      </c>
      <c r="K92" s="5">
        <f t="shared" si="45"/>
        <v>221958.66666666669</v>
      </c>
      <c r="L92" s="5">
        <f t="shared" si="45"/>
        <v>493335.74999999994</v>
      </c>
      <c r="M92" s="5">
        <f t="shared" si="45"/>
        <v>259145.81249999997</v>
      </c>
      <c r="N92" s="5">
        <f t="shared" si="45"/>
        <v>536481.5625</v>
      </c>
      <c r="O92" s="5">
        <f t="shared" si="45"/>
        <v>1869809.6249999998</v>
      </c>
      <c r="P92" s="5">
        <f t="shared" si="45"/>
        <v>2118155.625</v>
      </c>
      <c r="Q92" s="5">
        <f t="shared" si="45"/>
        <v>1993649.75</v>
      </c>
      <c r="R92" s="5">
        <f t="shared" si="45"/>
        <v>795388.37499999988</v>
      </c>
      <c r="S92" s="5">
        <f t="shared" si="45"/>
        <v>1499848.75</v>
      </c>
      <c r="T92" s="5">
        <f t="shared" si="45"/>
        <v>2103056</v>
      </c>
      <c r="U92" s="5">
        <f t="shared" si="45"/>
        <v>1102387.0625</v>
      </c>
      <c r="V92" s="5">
        <f t="shared" si="45"/>
        <v>1506386.25</v>
      </c>
      <c r="W92" s="5">
        <f t="shared" si="45"/>
        <v>1813916.416666667</v>
      </c>
      <c r="X92" s="5">
        <f t="shared" si="45"/>
        <v>2977696.3249999997</v>
      </c>
      <c r="Y92" s="5">
        <f t="shared" si="45"/>
        <v>1018846.25</v>
      </c>
      <c r="Z92" s="5">
        <f t="shared" si="45"/>
        <v>512717.75</v>
      </c>
      <c r="AA92" s="5">
        <f t="shared" si="45"/>
        <v>2955468.1874999995</v>
      </c>
      <c r="AB92" s="5">
        <f t="shared" si="45"/>
        <v>353340.8125</v>
      </c>
      <c r="AC92" s="5">
        <f t="shared" si="45"/>
        <v>2300887.5</v>
      </c>
      <c r="AD92" s="5">
        <f t="shared" si="45"/>
        <v>649318.56249999988</v>
      </c>
      <c r="AE92" s="5">
        <f t="shared" si="45"/>
        <v>1694225.2250000001</v>
      </c>
      <c r="AF92" s="5">
        <f t="shared" si="45"/>
        <v>808268</v>
      </c>
      <c r="AG92" s="5">
        <f t="shared" si="45"/>
        <v>1631254.0625</v>
      </c>
      <c r="AH92" s="5">
        <f t="shared" si="45"/>
        <v>3324171.4285714286</v>
      </c>
      <c r="AI92" s="5">
        <f t="shared" si="45"/>
        <v>1232614.75</v>
      </c>
      <c r="AJ92" s="5">
        <f t="shared" si="45"/>
        <v>1209885.5714285716</v>
      </c>
      <c r="AK92" s="5">
        <f t="shared" si="45"/>
        <v>1496273.9874999998</v>
      </c>
      <c r="AL92" s="5">
        <f t="shared" si="45"/>
        <v>1278962.5</v>
      </c>
      <c r="AM92" s="5">
        <f t="shared" si="45"/>
        <v>2027979.75</v>
      </c>
      <c r="AN92" s="5">
        <f t="shared" si="45"/>
        <v>520100.13749999995</v>
      </c>
      <c r="AO92" s="5">
        <f t="shared" si="45"/>
        <v>2248525.3125</v>
      </c>
      <c r="AP92" s="5">
        <f t="shared" si="45"/>
        <v>1430200.8499999999</v>
      </c>
      <c r="AQ92" s="5">
        <f t="shared" si="45"/>
        <v>1447461.6624999996</v>
      </c>
      <c r="AR92" s="5">
        <f t="shared" si="45"/>
        <v>1124021.75</v>
      </c>
      <c r="AS92" s="5">
        <f t="shared" si="45"/>
        <v>655214.6875</v>
      </c>
      <c r="AT92" s="5">
        <f t="shared" si="45"/>
        <v>512772.24999999994</v>
      </c>
      <c r="AU92" s="5">
        <f t="shared" si="45"/>
        <v>880442.95</v>
      </c>
      <c r="AV92" s="5">
        <f t="shared" si="45"/>
        <v>691502.375</v>
      </c>
      <c r="AW92" s="5">
        <f t="shared" si="45"/>
        <v>1034906.0624999999</v>
      </c>
      <c r="AX92" s="5">
        <f t="shared" si="45"/>
        <v>1530222.6625000001</v>
      </c>
      <c r="AY92" s="5">
        <f t="shared" si="45"/>
        <v>1644110.1249999998</v>
      </c>
      <c r="AZ92" s="5">
        <f t="shared" si="45"/>
        <v>1075203.75</v>
      </c>
      <c r="BA92" s="5">
        <f t="shared" si="45"/>
        <v>9636420.833333334</v>
      </c>
      <c r="BB92" s="5">
        <f t="shared" si="45"/>
        <v>2556267.9874999998</v>
      </c>
      <c r="BC92" s="5">
        <f t="shared" si="45"/>
        <v>1024602.25</v>
      </c>
      <c r="BD92" s="5">
        <f t="shared" si="45"/>
        <v>747150.625</v>
      </c>
      <c r="BE92" s="5">
        <f t="shared" si="45"/>
        <v>1114568.8999999999</v>
      </c>
      <c r="BF92" s="5">
        <f t="shared" si="45"/>
        <v>1824586.1874999998</v>
      </c>
      <c r="BG92" s="5">
        <f t="shared" si="45"/>
        <v>374614.74999999994</v>
      </c>
      <c r="BH92" s="5">
        <f t="shared" ref="BH92" si="46">BH90/BH86</f>
        <v>1169951.375</v>
      </c>
      <c r="BI92" s="5">
        <f t="shared" si="45"/>
        <v>1047775.2499999999</v>
      </c>
      <c r="BJ92" s="5">
        <f t="shared" si="45"/>
        <v>325277.6875</v>
      </c>
      <c r="BK92" s="5">
        <f t="shared" si="45"/>
        <v>530966.22</v>
      </c>
      <c r="BL92" s="5">
        <f t="shared" si="45"/>
        <v>2200177.6874999995</v>
      </c>
      <c r="BM92" s="5">
        <f t="shared" si="45"/>
        <v>1112593.2374999998</v>
      </c>
      <c r="BN92" s="5">
        <f t="shared" si="45"/>
        <v>1399998.0374999999</v>
      </c>
      <c r="BO92" s="5">
        <f t="shared" ref="BO92:BZ92" si="47">BO90/BO86</f>
        <v>3007070.0333333337</v>
      </c>
      <c r="BP92" s="5">
        <f t="shared" si="47"/>
        <v>2047496.6874999998</v>
      </c>
      <c r="BQ92" s="5">
        <f t="shared" si="47"/>
        <v>796276.4375</v>
      </c>
      <c r="BR92" s="5">
        <f t="shared" si="47"/>
        <v>6317470.166666667</v>
      </c>
      <c r="BS92" s="5">
        <f t="shared" si="47"/>
        <v>1410180.675</v>
      </c>
      <c r="BT92" s="5">
        <f t="shared" si="47"/>
        <v>1259740.6666666667</v>
      </c>
      <c r="BU92" s="5">
        <f t="shared" si="47"/>
        <v>360569.43749999994</v>
      </c>
      <c r="BV92" s="5">
        <f t="shared" si="47"/>
        <v>744236.625</v>
      </c>
      <c r="BW92" s="5">
        <f t="shared" si="47"/>
        <v>4881010.0166666666</v>
      </c>
      <c r="BX92" s="5">
        <f t="shared" si="47"/>
        <v>494406.33333333331</v>
      </c>
      <c r="BY92" s="5">
        <f t="shared" si="47"/>
        <v>850599.2</v>
      </c>
      <c r="BZ92" s="5">
        <f t="shared" si="47"/>
        <v>2288829</v>
      </c>
    </row>
    <row r="93" spans="1:80" x14ac:dyDescent="0.2">
      <c r="B93" s="30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80" s="32" customFormat="1" x14ac:dyDescent="0.2">
      <c r="A94" s="21"/>
      <c r="B94" s="32" t="s">
        <v>89</v>
      </c>
      <c r="C94" s="15">
        <f>C92*$C86</f>
        <v>93097789.029999986</v>
      </c>
      <c r="D94" s="15">
        <f>D92*$C86</f>
        <v>14526566.39896475</v>
      </c>
      <c r="E94" s="15">
        <f t="shared" ref="E94:BN94" si="48">E92*$C86</f>
        <v>1459130.3674085583</v>
      </c>
      <c r="F94" s="15">
        <f t="shared" si="48"/>
        <v>230382.46589820299</v>
      </c>
      <c r="G94" s="15">
        <f t="shared" si="48"/>
        <v>188789.16248577158</v>
      </c>
      <c r="H94" s="15">
        <f t="shared" si="48"/>
        <v>858109.15562502807</v>
      </c>
      <c r="I94" s="15">
        <f t="shared" si="48"/>
        <v>1701835.4726943879</v>
      </c>
      <c r="J94" s="15">
        <f t="shared" si="48"/>
        <v>688359.61404846341</v>
      </c>
      <c r="K94" s="15">
        <f t="shared" si="48"/>
        <v>153640.11034045278</v>
      </c>
      <c r="L94" s="15">
        <f t="shared" si="48"/>
        <v>341487.72022819566</v>
      </c>
      <c r="M94" s="15">
        <f t="shared" si="48"/>
        <v>179381.10651277239</v>
      </c>
      <c r="N94" s="15">
        <f t="shared" si="48"/>
        <v>371353.31409204641</v>
      </c>
      <c r="O94" s="15">
        <f t="shared" si="48"/>
        <v>1294284.9288785325</v>
      </c>
      <c r="P94" s="15">
        <f t="shared" si="48"/>
        <v>1466190.3895466304</v>
      </c>
      <c r="Q94" s="15">
        <f t="shared" si="48"/>
        <v>1380007.242655762</v>
      </c>
      <c r="R94" s="15">
        <f t="shared" si="48"/>
        <v>550568.98445887852</v>
      </c>
      <c r="S94" s="15">
        <f t="shared" si="48"/>
        <v>1038197.4757041407</v>
      </c>
      <c r="T94" s="15">
        <f t="shared" si="48"/>
        <v>1455738.4072656976</v>
      </c>
      <c r="U94" s="15">
        <f t="shared" si="48"/>
        <v>763073.92031123326</v>
      </c>
      <c r="V94" s="15">
        <f t="shared" si="48"/>
        <v>1042722.7426668367</v>
      </c>
      <c r="W94" s="15">
        <f t="shared" si="48"/>
        <v>1255595.569167647</v>
      </c>
      <c r="X94" s="15">
        <f t="shared" si="48"/>
        <v>2061165.7062277088</v>
      </c>
      <c r="Y94" s="15">
        <f t="shared" si="48"/>
        <v>705246.84897769184</v>
      </c>
      <c r="Z94" s="15">
        <f t="shared" si="48"/>
        <v>354903.96868264663</v>
      </c>
      <c r="AA94" s="15">
        <f t="shared" si="48"/>
        <v>2045779.3572761198</v>
      </c>
      <c r="AB94" s="15">
        <f t="shared" si="48"/>
        <v>244583.02185520381</v>
      </c>
      <c r="AC94" s="15">
        <f t="shared" si="48"/>
        <v>1592677.6579166474</v>
      </c>
      <c r="AD94" s="15">
        <f t="shared" si="48"/>
        <v>449459.24881781661</v>
      </c>
      <c r="AE94" s="15">
        <f t="shared" si="48"/>
        <v>1172745.153049119</v>
      </c>
      <c r="AF94" s="15">
        <f t="shared" si="48"/>
        <v>559484.27952647523</v>
      </c>
      <c r="AG94" s="15">
        <f t="shared" si="48"/>
        <v>1129156.423219091</v>
      </c>
      <c r="AH94" s="15">
        <f t="shared" si="48"/>
        <v>2300996.2744247941</v>
      </c>
      <c r="AI94" s="15">
        <f t="shared" si="48"/>
        <v>853217.71409663174</v>
      </c>
      <c r="AJ94" s="15">
        <f t="shared" si="48"/>
        <v>837484.54379016883</v>
      </c>
      <c r="AK94" s="15">
        <f t="shared" si="48"/>
        <v>1035723.0199273552</v>
      </c>
      <c r="AL94" s="15">
        <f t="shared" si="48"/>
        <v>885299.69373262278</v>
      </c>
      <c r="AM94" s="15">
        <f t="shared" si="48"/>
        <v>1403770.5183466764</v>
      </c>
      <c r="AN94" s="15">
        <f t="shared" si="48"/>
        <v>360014.06799577392</v>
      </c>
      <c r="AO94" s="15">
        <f t="shared" si="48"/>
        <v>1556432.4759375665</v>
      </c>
      <c r="AP94" s="15">
        <f t="shared" si="48"/>
        <v>989987.09851237759</v>
      </c>
      <c r="AQ94" s="15">
        <f t="shared" si="48"/>
        <v>1001935.0579090182</v>
      </c>
      <c r="AR94" s="15">
        <f t="shared" si="48"/>
        <v>778049.4823138339</v>
      </c>
      <c r="AS94" s="15">
        <f t="shared" si="48"/>
        <v>453540.55507715524</v>
      </c>
      <c r="AT94" s="15">
        <f t="shared" si="48"/>
        <v>354941.69366153254</v>
      </c>
      <c r="AU94" s="15">
        <f t="shared" si="48"/>
        <v>609443.88438601361</v>
      </c>
      <c r="AV94" s="15">
        <f t="shared" si="48"/>
        <v>478658.94488922175</v>
      </c>
      <c r="AW94" s="15">
        <f t="shared" si="48"/>
        <v>716363.47443594667</v>
      </c>
      <c r="AX94" s="15">
        <f t="shared" si="48"/>
        <v>1059222.3419013214</v>
      </c>
      <c r="AY94" s="15">
        <f t="shared" si="48"/>
        <v>1138055.4082900819</v>
      </c>
      <c r="AZ94" s="15">
        <f t="shared" si="48"/>
        <v>744257.59205228265</v>
      </c>
      <c r="BA94" s="15">
        <f t="shared" si="48"/>
        <v>6670344.4490582533</v>
      </c>
      <c r="BB94" s="15">
        <f t="shared" si="48"/>
        <v>1769452.401014305</v>
      </c>
      <c r="BC94" s="15">
        <f t="shared" si="48"/>
        <v>709231.1605092067</v>
      </c>
      <c r="BD94" s="15">
        <f t="shared" si="48"/>
        <v>517178.74408720952</v>
      </c>
      <c r="BE94" s="15">
        <f t="shared" si="48"/>
        <v>771506.20586131827</v>
      </c>
      <c r="BF94" s="15">
        <f t="shared" si="48"/>
        <v>1262981.1999824261</v>
      </c>
      <c r="BG94" s="15">
        <f t="shared" si="48"/>
        <v>259308.87218563718</v>
      </c>
      <c r="BH94" s="15">
        <f t="shared" ref="BH94" si="49">BH92*$C86</f>
        <v>809842.03521961032</v>
      </c>
      <c r="BI94" s="15">
        <f t="shared" si="48"/>
        <v>725271.54465093557</v>
      </c>
      <c r="BJ94" s="15">
        <f t="shared" si="48"/>
        <v>225157.68611026969</v>
      </c>
      <c r="BK94" s="15">
        <f t="shared" si="48"/>
        <v>367535.58603037102</v>
      </c>
      <c r="BL94" s="15">
        <f t="shared" si="48"/>
        <v>1522966.1799318588</v>
      </c>
      <c r="BM94" s="15">
        <f t="shared" si="48"/>
        <v>770138.64941914799</v>
      </c>
      <c r="BN94" s="15">
        <f t="shared" si="48"/>
        <v>969080.66798285546</v>
      </c>
      <c r="BO94" s="15">
        <f t="shared" ref="BO94:BZ94" si="50">BO92*$C86</f>
        <v>2081498.2296529789</v>
      </c>
      <c r="BP94" s="15">
        <f t="shared" si="50"/>
        <v>1417280.1707339422</v>
      </c>
      <c r="BQ94" s="15">
        <f t="shared" si="50"/>
        <v>551183.7026068035</v>
      </c>
      <c r="BR94" s="15">
        <f t="shared" si="50"/>
        <v>4372961.9935807204</v>
      </c>
      <c r="BS94" s="15">
        <f t="shared" si="50"/>
        <v>976129.10439920123</v>
      </c>
      <c r="BT94" s="15">
        <f t="shared" si="50"/>
        <v>871994.31287667167</v>
      </c>
      <c r="BU94" s="15">
        <f t="shared" si="50"/>
        <v>249586.68654326772</v>
      </c>
      <c r="BV94" s="15">
        <f t="shared" si="50"/>
        <v>515161.669069344</v>
      </c>
      <c r="BW94" s="15">
        <f t="shared" si="50"/>
        <v>3378642.1985483267</v>
      </c>
      <c r="BX94" s="15">
        <f t="shared" si="50"/>
        <v>342228.77956114348</v>
      </c>
      <c r="BY94" s="15">
        <f t="shared" si="50"/>
        <v>588785.99743871612</v>
      </c>
      <c r="BZ94" s="15">
        <f t="shared" si="50"/>
        <v>1584330.7467625872</v>
      </c>
      <c r="CA94" s="21"/>
      <c r="CB94" s="3"/>
    </row>
    <row r="95" spans="1:80" x14ac:dyDescent="0.2">
      <c r="B95" s="30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80" s="32" customFormat="1" x14ac:dyDescent="0.2">
      <c r="A96" s="25" t="s">
        <v>154</v>
      </c>
      <c r="B96" s="26" t="s">
        <v>85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27"/>
      <c r="CB96" s="35"/>
    </row>
    <row r="97" spans="1:80" x14ac:dyDescent="0.2">
      <c r="B97" s="30" t="s">
        <v>81</v>
      </c>
      <c r="C97" s="5">
        <f>SUM(D97:BZ97)</f>
        <v>1540926.8599999994</v>
      </c>
      <c r="D97" s="12">
        <v>323315</v>
      </c>
      <c r="E97" s="12">
        <v>30981.9</v>
      </c>
      <c r="F97" s="12">
        <v>3311.7</v>
      </c>
      <c r="G97" s="12">
        <v>2926.2</v>
      </c>
      <c r="H97" s="12">
        <v>10835.6</v>
      </c>
      <c r="I97" s="12">
        <v>16137.84</v>
      </c>
      <c r="J97" s="12">
        <v>13514.2</v>
      </c>
      <c r="K97" s="12">
        <v>1686.8</v>
      </c>
      <c r="L97" s="12">
        <v>0</v>
      </c>
      <c r="M97" s="12">
        <v>2691.35</v>
      </c>
      <c r="N97" s="12">
        <v>6224.15</v>
      </c>
      <c r="O97" s="12">
        <v>16070.6</v>
      </c>
      <c r="P97" s="12">
        <v>38988.199999999997</v>
      </c>
      <c r="Q97" s="12">
        <v>21604.1</v>
      </c>
      <c r="R97" s="12">
        <v>11747.55</v>
      </c>
      <c r="S97" s="12">
        <v>12716</v>
      </c>
      <c r="T97" s="12">
        <v>28074.15</v>
      </c>
      <c r="U97" s="12">
        <v>7529.85</v>
      </c>
      <c r="V97" s="12">
        <v>9254.1</v>
      </c>
      <c r="W97" s="12">
        <v>16086.05</v>
      </c>
      <c r="X97" s="12">
        <v>16638.939999999999</v>
      </c>
      <c r="Y97" s="12">
        <v>7955.8</v>
      </c>
      <c r="Z97" s="12">
        <v>3839.75</v>
      </c>
      <c r="AA97" s="12">
        <v>40411.949999999997</v>
      </c>
      <c r="AB97" s="12">
        <v>2122.6</v>
      </c>
      <c r="AC97" s="12">
        <v>24769.599999999999</v>
      </c>
      <c r="AD97" s="12">
        <v>4004.2</v>
      </c>
      <c r="AE97" s="12">
        <v>26304.400000000001</v>
      </c>
      <c r="AF97" s="12">
        <v>7099</v>
      </c>
      <c r="AG97" s="12">
        <v>22369.599999999999</v>
      </c>
      <c r="AH97" s="12">
        <v>32995.800000000003</v>
      </c>
      <c r="AI97" s="12">
        <v>6406.6</v>
      </c>
      <c r="AJ97" s="12">
        <v>11440.75</v>
      </c>
      <c r="AK97" s="12">
        <v>12381.95</v>
      </c>
      <c r="AL97" s="12">
        <v>9360</v>
      </c>
      <c r="AM97" s="12">
        <v>11435.1</v>
      </c>
      <c r="AN97" s="12">
        <v>26169.1</v>
      </c>
      <c r="AO97" s="12">
        <v>25085.75</v>
      </c>
      <c r="AP97" s="12">
        <v>11587.6</v>
      </c>
      <c r="AQ97" s="12">
        <v>11539.8</v>
      </c>
      <c r="AR97" s="12">
        <v>184.2</v>
      </c>
      <c r="AS97" s="12">
        <v>5692.75</v>
      </c>
      <c r="AT97" s="12">
        <v>6219.8</v>
      </c>
      <c r="AU97" s="12">
        <v>6831.84</v>
      </c>
      <c r="AV97" s="12">
        <v>5639.6</v>
      </c>
      <c r="AW97" s="12">
        <v>7044.75</v>
      </c>
      <c r="AX97" s="12">
        <v>10256.549999999999</v>
      </c>
      <c r="AY97" s="12">
        <v>26924.7</v>
      </c>
      <c r="AZ97" s="12">
        <v>13704</v>
      </c>
      <c r="BA97" s="12">
        <v>102585.45</v>
      </c>
      <c r="BB97" s="12">
        <v>18412.2</v>
      </c>
      <c r="BC97" s="12">
        <v>7467</v>
      </c>
      <c r="BD97" s="12">
        <v>19727.599999999999</v>
      </c>
      <c r="BE97" s="12">
        <v>12374.02</v>
      </c>
      <c r="BF97" s="12">
        <v>35558.6</v>
      </c>
      <c r="BG97" s="12">
        <v>3946.55</v>
      </c>
      <c r="BH97" s="12">
        <v>22106.05</v>
      </c>
      <c r="BI97" s="12">
        <v>15758.5</v>
      </c>
      <c r="BJ97" s="12">
        <v>6350.9</v>
      </c>
      <c r="BK97" s="12">
        <v>9367.24</v>
      </c>
      <c r="BL97" s="12">
        <v>28682.95</v>
      </c>
      <c r="BM97" s="12">
        <v>7014.75</v>
      </c>
      <c r="BN97" s="12">
        <v>13406.02</v>
      </c>
      <c r="BO97" s="12">
        <v>29520.7</v>
      </c>
      <c r="BP97" s="12">
        <v>31214.15</v>
      </c>
      <c r="BQ97" s="12">
        <v>12733.65</v>
      </c>
      <c r="BR97" s="12">
        <v>98767.3</v>
      </c>
      <c r="BS97" s="12">
        <v>8815.48</v>
      </c>
      <c r="BT97" s="12">
        <v>9798</v>
      </c>
      <c r="BU97" s="12">
        <v>1307.4000000000001</v>
      </c>
      <c r="BV97" s="12">
        <v>7939.7</v>
      </c>
      <c r="BW97" s="12">
        <v>30354.94</v>
      </c>
      <c r="BX97" s="12">
        <v>5569.95</v>
      </c>
      <c r="BY97" s="12">
        <v>12075.54</v>
      </c>
      <c r="BZ97" s="12">
        <v>19960.400000000001</v>
      </c>
      <c r="CB97" s="3" t="s">
        <v>108</v>
      </c>
    </row>
    <row r="98" spans="1:80" x14ac:dyDescent="0.2">
      <c r="B98" s="30" t="s">
        <v>82</v>
      </c>
      <c r="C98" s="5">
        <f>SUM(D98:BZ98)</f>
        <v>24.55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0.2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v>0</v>
      </c>
      <c r="AS98" s="12">
        <v>0</v>
      </c>
      <c r="AT98" s="12">
        <v>0</v>
      </c>
      <c r="AU98" s="12">
        <v>0</v>
      </c>
      <c r="AV98" s="12">
        <v>0</v>
      </c>
      <c r="AW98" s="12">
        <v>0</v>
      </c>
      <c r="AX98" s="12">
        <v>0</v>
      </c>
      <c r="AY98" s="12">
        <v>0</v>
      </c>
      <c r="AZ98" s="12">
        <v>0</v>
      </c>
      <c r="BA98" s="12">
        <v>0</v>
      </c>
      <c r="BB98" s="12">
        <v>0</v>
      </c>
      <c r="BC98" s="12">
        <v>0</v>
      </c>
      <c r="BD98" s="12">
        <v>0</v>
      </c>
      <c r="BE98" s="12">
        <v>0</v>
      </c>
      <c r="BF98" s="12">
        <v>0</v>
      </c>
      <c r="BG98" s="12">
        <v>0</v>
      </c>
      <c r="BH98" s="12">
        <v>0.2</v>
      </c>
      <c r="BI98" s="12">
        <v>0</v>
      </c>
      <c r="BJ98" s="12">
        <v>0.2</v>
      </c>
      <c r="BK98" s="12">
        <v>0</v>
      </c>
      <c r="BL98" s="12">
        <v>23.95</v>
      </c>
      <c r="BM98" s="12">
        <v>0</v>
      </c>
      <c r="BN98" s="12">
        <v>0</v>
      </c>
      <c r="BO98" s="12">
        <v>0</v>
      </c>
      <c r="BP98" s="12">
        <v>0</v>
      </c>
      <c r="BQ98" s="12">
        <v>0</v>
      </c>
      <c r="BR98" s="12">
        <v>0</v>
      </c>
      <c r="BS98" s="12">
        <v>0</v>
      </c>
      <c r="BT98" s="12">
        <v>0</v>
      </c>
      <c r="BU98" s="12">
        <v>0</v>
      </c>
      <c r="BV98" s="12">
        <v>0</v>
      </c>
      <c r="BW98" s="12">
        <v>0</v>
      </c>
      <c r="BX98" s="12">
        <v>0</v>
      </c>
      <c r="BY98" s="12">
        <v>0</v>
      </c>
      <c r="BZ98" s="12">
        <v>0</v>
      </c>
      <c r="CB98" s="3" t="s">
        <v>108</v>
      </c>
    </row>
    <row r="99" spans="1:80" s="32" customFormat="1" x14ac:dyDescent="0.2">
      <c r="A99" s="21"/>
      <c r="B99" s="32" t="s">
        <v>90</v>
      </c>
      <c r="C99" s="15">
        <f>SUM(D99:BZ99)</f>
        <v>1540902.3099999996</v>
      </c>
      <c r="D99" s="15">
        <f>D97-D98</f>
        <v>323315</v>
      </c>
      <c r="E99" s="15">
        <f t="shared" ref="E99:BN99" si="51">E97-E98</f>
        <v>30981.9</v>
      </c>
      <c r="F99" s="15">
        <f t="shared" si="51"/>
        <v>3311.7</v>
      </c>
      <c r="G99" s="15">
        <f t="shared" si="51"/>
        <v>2926.2</v>
      </c>
      <c r="H99" s="15">
        <f t="shared" si="51"/>
        <v>10835.6</v>
      </c>
      <c r="I99" s="15">
        <f t="shared" si="51"/>
        <v>16137.84</v>
      </c>
      <c r="J99" s="15">
        <f t="shared" si="51"/>
        <v>13514.2</v>
      </c>
      <c r="K99" s="15">
        <f t="shared" si="51"/>
        <v>1686.8</v>
      </c>
      <c r="L99" s="15">
        <f t="shared" si="51"/>
        <v>0</v>
      </c>
      <c r="M99" s="15">
        <f t="shared" si="51"/>
        <v>2691.35</v>
      </c>
      <c r="N99" s="15">
        <f t="shared" si="51"/>
        <v>6224.15</v>
      </c>
      <c r="O99" s="15">
        <f t="shared" si="51"/>
        <v>16070.6</v>
      </c>
      <c r="P99" s="15">
        <f t="shared" si="51"/>
        <v>38988.199999999997</v>
      </c>
      <c r="Q99" s="15">
        <f t="shared" si="51"/>
        <v>21604.1</v>
      </c>
      <c r="R99" s="15">
        <f t="shared" si="51"/>
        <v>11747.55</v>
      </c>
      <c r="S99" s="15">
        <f t="shared" si="51"/>
        <v>12716</v>
      </c>
      <c r="T99" s="15">
        <f t="shared" si="51"/>
        <v>28074.15</v>
      </c>
      <c r="U99" s="15">
        <f t="shared" si="51"/>
        <v>7529.6500000000005</v>
      </c>
      <c r="V99" s="15">
        <f t="shared" si="51"/>
        <v>9254.1</v>
      </c>
      <c r="W99" s="15">
        <f t="shared" si="51"/>
        <v>16086.05</v>
      </c>
      <c r="X99" s="15">
        <f t="shared" si="51"/>
        <v>16638.939999999999</v>
      </c>
      <c r="Y99" s="15">
        <f t="shared" si="51"/>
        <v>7955.8</v>
      </c>
      <c r="Z99" s="15">
        <f t="shared" si="51"/>
        <v>3839.75</v>
      </c>
      <c r="AA99" s="15">
        <f t="shared" si="51"/>
        <v>40411.949999999997</v>
      </c>
      <c r="AB99" s="15">
        <f t="shared" si="51"/>
        <v>2122.6</v>
      </c>
      <c r="AC99" s="15">
        <f t="shared" si="51"/>
        <v>24769.599999999999</v>
      </c>
      <c r="AD99" s="15">
        <f t="shared" si="51"/>
        <v>4004.2</v>
      </c>
      <c r="AE99" s="15">
        <f t="shared" si="51"/>
        <v>26304.400000000001</v>
      </c>
      <c r="AF99" s="15">
        <f t="shared" si="51"/>
        <v>7099</v>
      </c>
      <c r="AG99" s="15">
        <f t="shared" si="51"/>
        <v>22369.599999999999</v>
      </c>
      <c r="AH99" s="15">
        <f t="shared" si="51"/>
        <v>32995.800000000003</v>
      </c>
      <c r="AI99" s="15">
        <f t="shared" si="51"/>
        <v>6406.6</v>
      </c>
      <c r="AJ99" s="15">
        <f t="shared" si="51"/>
        <v>11440.75</v>
      </c>
      <c r="AK99" s="15">
        <f t="shared" si="51"/>
        <v>12381.95</v>
      </c>
      <c r="AL99" s="15">
        <f t="shared" si="51"/>
        <v>9360</v>
      </c>
      <c r="AM99" s="15">
        <f t="shared" si="51"/>
        <v>11435.1</v>
      </c>
      <c r="AN99" s="15">
        <f t="shared" si="51"/>
        <v>26169.1</v>
      </c>
      <c r="AO99" s="15">
        <f t="shared" si="51"/>
        <v>25085.75</v>
      </c>
      <c r="AP99" s="15">
        <f t="shared" si="51"/>
        <v>11587.6</v>
      </c>
      <c r="AQ99" s="15">
        <f t="shared" si="51"/>
        <v>11539.8</v>
      </c>
      <c r="AR99" s="15">
        <f t="shared" si="51"/>
        <v>184.2</v>
      </c>
      <c r="AS99" s="15">
        <f t="shared" si="51"/>
        <v>5692.75</v>
      </c>
      <c r="AT99" s="15">
        <f t="shared" si="51"/>
        <v>6219.8</v>
      </c>
      <c r="AU99" s="15">
        <f t="shared" si="51"/>
        <v>6831.84</v>
      </c>
      <c r="AV99" s="15">
        <f t="shared" si="51"/>
        <v>5639.6</v>
      </c>
      <c r="AW99" s="15">
        <f t="shared" si="51"/>
        <v>7044.75</v>
      </c>
      <c r="AX99" s="15">
        <f t="shared" si="51"/>
        <v>10256.549999999999</v>
      </c>
      <c r="AY99" s="15">
        <f t="shared" si="51"/>
        <v>26924.7</v>
      </c>
      <c r="AZ99" s="15">
        <f t="shared" si="51"/>
        <v>13704</v>
      </c>
      <c r="BA99" s="15">
        <f t="shared" si="51"/>
        <v>102585.45</v>
      </c>
      <c r="BB99" s="15">
        <f t="shared" si="51"/>
        <v>18412.2</v>
      </c>
      <c r="BC99" s="15">
        <f t="shared" si="51"/>
        <v>7467</v>
      </c>
      <c r="BD99" s="15">
        <f t="shared" si="51"/>
        <v>19727.599999999999</v>
      </c>
      <c r="BE99" s="15">
        <f t="shared" si="51"/>
        <v>12374.02</v>
      </c>
      <c r="BF99" s="15">
        <f t="shared" si="51"/>
        <v>35558.6</v>
      </c>
      <c r="BG99" s="15">
        <f t="shared" si="51"/>
        <v>3946.55</v>
      </c>
      <c r="BH99" s="15">
        <f t="shared" si="51"/>
        <v>22105.85</v>
      </c>
      <c r="BI99" s="15">
        <f t="shared" si="51"/>
        <v>15758.5</v>
      </c>
      <c r="BJ99" s="15">
        <f t="shared" si="51"/>
        <v>6350.7</v>
      </c>
      <c r="BK99" s="15">
        <f t="shared" si="51"/>
        <v>9367.24</v>
      </c>
      <c r="BL99" s="15">
        <f t="shared" si="51"/>
        <v>28659</v>
      </c>
      <c r="BM99" s="15">
        <f t="shared" si="51"/>
        <v>7014.75</v>
      </c>
      <c r="BN99" s="15">
        <f t="shared" si="51"/>
        <v>13406.02</v>
      </c>
      <c r="BO99" s="15">
        <f t="shared" ref="BO99:BZ99" si="52">BO97-BO98</f>
        <v>29520.7</v>
      </c>
      <c r="BP99" s="15">
        <f t="shared" si="52"/>
        <v>31214.15</v>
      </c>
      <c r="BQ99" s="15">
        <f t="shared" si="52"/>
        <v>12733.65</v>
      </c>
      <c r="BR99" s="15">
        <f t="shared" si="52"/>
        <v>98767.3</v>
      </c>
      <c r="BS99" s="15">
        <f t="shared" si="52"/>
        <v>8815.48</v>
      </c>
      <c r="BT99" s="15">
        <f t="shared" si="52"/>
        <v>9798</v>
      </c>
      <c r="BU99" s="15">
        <f t="shared" si="52"/>
        <v>1307.4000000000001</v>
      </c>
      <c r="BV99" s="15">
        <f t="shared" si="52"/>
        <v>7939.7</v>
      </c>
      <c r="BW99" s="15">
        <f t="shared" si="52"/>
        <v>30354.94</v>
      </c>
      <c r="BX99" s="15">
        <f t="shared" si="52"/>
        <v>5569.95</v>
      </c>
      <c r="BY99" s="15">
        <f t="shared" si="52"/>
        <v>12075.54</v>
      </c>
      <c r="BZ99" s="15">
        <f t="shared" si="52"/>
        <v>19960.400000000001</v>
      </c>
      <c r="CA99" s="21"/>
      <c r="CB99" s="21"/>
    </row>
    <row r="100" spans="1:80" x14ac:dyDescent="0.2">
      <c r="B100" s="30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80" s="32" customFormat="1" x14ac:dyDescent="0.2">
      <c r="A101" s="25" t="s">
        <v>155</v>
      </c>
      <c r="B101" s="26" t="s">
        <v>2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27"/>
      <c r="CB101" s="35"/>
    </row>
    <row r="102" spans="1:80" x14ac:dyDescent="0.2">
      <c r="B102" s="30" t="s">
        <v>81</v>
      </c>
      <c r="C102" s="5">
        <f>SUM(D102:BZ102)</f>
        <v>56849110.349999994</v>
      </c>
      <c r="D102" s="12">
        <v>9408205</v>
      </c>
      <c r="E102" s="12">
        <v>770770.1</v>
      </c>
      <c r="F102" s="12">
        <v>93581.4</v>
      </c>
      <c r="G102" s="12">
        <v>94943.1</v>
      </c>
      <c r="H102" s="12">
        <v>410990.85</v>
      </c>
      <c r="I102" s="12">
        <v>1202914.5</v>
      </c>
      <c r="J102" s="12">
        <v>278048.55</v>
      </c>
      <c r="K102" s="12">
        <v>84752.9</v>
      </c>
      <c r="L102" s="12">
        <v>229923.4</v>
      </c>
      <c r="M102" s="12">
        <v>48428.4</v>
      </c>
      <c r="N102" s="12">
        <v>172184.4</v>
      </c>
      <c r="O102" s="12">
        <v>983698.7</v>
      </c>
      <c r="P102" s="12">
        <v>1230831.8500000001</v>
      </c>
      <c r="Q102" s="12">
        <v>1063322.45</v>
      </c>
      <c r="R102" s="12">
        <v>359025.45</v>
      </c>
      <c r="S102" s="12">
        <v>756910</v>
      </c>
      <c r="T102" s="12">
        <v>1035178.55</v>
      </c>
      <c r="U102" s="12">
        <v>317642.40000000002</v>
      </c>
      <c r="V102" s="12">
        <v>645304.35</v>
      </c>
      <c r="W102" s="12">
        <v>917133.5</v>
      </c>
      <c r="X102" s="12">
        <v>819403.1</v>
      </c>
      <c r="Y102" s="12">
        <v>503943.7</v>
      </c>
      <c r="Z102" s="12">
        <v>263697.40000000002</v>
      </c>
      <c r="AA102" s="12">
        <v>1260905.8500000001</v>
      </c>
      <c r="AB102" s="12">
        <v>113360.25</v>
      </c>
      <c r="AC102" s="12">
        <v>626178.35</v>
      </c>
      <c r="AD102" s="12">
        <v>233597.7</v>
      </c>
      <c r="AE102" s="12">
        <v>692652.8</v>
      </c>
      <c r="AF102" s="12">
        <v>237109.45</v>
      </c>
      <c r="AG102" s="12">
        <v>468774</v>
      </c>
      <c r="AH102" s="12">
        <v>1324873.5</v>
      </c>
      <c r="AI102" s="12">
        <v>352531.5</v>
      </c>
      <c r="AJ102" s="12">
        <v>821613.7</v>
      </c>
      <c r="AK102" s="12">
        <v>606278.35</v>
      </c>
      <c r="AL102" s="12">
        <v>423849</v>
      </c>
      <c r="AM102" s="12">
        <v>1137198.3500000001</v>
      </c>
      <c r="AN102" s="12">
        <v>167299.29999999999</v>
      </c>
      <c r="AO102" s="12">
        <v>1074587.55</v>
      </c>
      <c r="AP102" s="12">
        <v>839502.15</v>
      </c>
      <c r="AQ102" s="12">
        <v>560969.35</v>
      </c>
      <c r="AR102" s="12">
        <v>511463.4</v>
      </c>
      <c r="AS102" s="12">
        <v>363495.9</v>
      </c>
      <c r="AT102" s="12">
        <v>368474.85</v>
      </c>
      <c r="AU102" s="12">
        <v>403380.05</v>
      </c>
      <c r="AV102" s="12">
        <v>356888.1</v>
      </c>
      <c r="AW102" s="12">
        <v>932177.7</v>
      </c>
      <c r="AX102" s="12">
        <v>938746.7</v>
      </c>
      <c r="AY102" s="12">
        <v>811151.05</v>
      </c>
      <c r="AZ102" s="12">
        <v>920873</v>
      </c>
      <c r="BA102" s="12">
        <v>2948011.3</v>
      </c>
      <c r="BB102" s="12">
        <v>824830</v>
      </c>
      <c r="BC102" s="12">
        <v>512690.45</v>
      </c>
      <c r="BD102" s="12">
        <v>568824.19999999995</v>
      </c>
      <c r="BE102" s="12">
        <v>392844.6</v>
      </c>
      <c r="BF102" s="12">
        <v>474714</v>
      </c>
      <c r="BG102" s="12">
        <v>173362.5</v>
      </c>
      <c r="BH102" s="12">
        <v>596247.75</v>
      </c>
      <c r="BI102" s="12">
        <v>542397.55000000005</v>
      </c>
      <c r="BJ102" s="12">
        <v>123780.9</v>
      </c>
      <c r="BK102" s="12">
        <v>112957.35</v>
      </c>
      <c r="BL102" s="12">
        <v>744828.5</v>
      </c>
      <c r="BM102" s="12">
        <v>242015.5</v>
      </c>
      <c r="BN102" s="12">
        <v>618087.05000000005</v>
      </c>
      <c r="BO102" s="12">
        <v>1314215.1000000001</v>
      </c>
      <c r="BP102" s="12">
        <v>1028121</v>
      </c>
      <c r="BQ102" s="12">
        <v>410197.65</v>
      </c>
      <c r="BR102" s="12">
        <v>2391764.9500000002</v>
      </c>
      <c r="BS102" s="12">
        <v>600072.30000000005</v>
      </c>
      <c r="BT102" s="12">
        <v>496081</v>
      </c>
      <c r="BU102" s="12">
        <v>124748.3</v>
      </c>
      <c r="BV102" s="12">
        <v>316696.8</v>
      </c>
      <c r="BW102" s="12">
        <v>1464108.35</v>
      </c>
      <c r="BX102" s="12">
        <v>320376.40000000002</v>
      </c>
      <c r="BY102" s="12">
        <v>355206.35</v>
      </c>
      <c r="BZ102" s="12">
        <v>913164.55</v>
      </c>
      <c r="CB102" s="3" t="s">
        <v>108</v>
      </c>
    </row>
    <row r="103" spans="1:80" x14ac:dyDescent="0.2">
      <c r="B103" s="30" t="s">
        <v>82</v>
      </c>
      <c r="C103" s="5">
        <f>SUM(D103:BZ103)</f>
        <v>3550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3550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2">
        <v>0</v>
      </c>
      <c r="AU103" s="12">
        <v>0</v>
      </c>
      <c r="AV103" s="12">
        <v>0</v>
      </c>
      <c r="AW103" s="12">
        <v>0</v>
      </c>
      <c r="AX103" s="12">
        <v>0</v>
      </c>
      <c r="AY103" s="12">
        <v>0</v>
      </c>
      <c r="AZ103" s="12">
        <v>0</v>
      </c>
      <c r="BA103" s="12">
        <v>0</v>
      </c>
      <c r="BB103" s="12">
        <v>0</v>
      </c>
      <c r="BC103" s="12">
        <v>0</v>
      </c>
      <c r="BD103" s="12">
        <v>0</v>
      </c>
      <c r="BE103" s="12">
        <v>0</v>
      </c>
      <c r="BF103" s="12">
        <v>0</v>
      </c>
      <c r="BG103" s="12">
        <v>0</v>
      </c>
      <c r="BH103" s="12">
        <v>0</v>
      </c>
      <c r="BI103" s="12">
        <v>0</v>
      </c>
      <c r="BJ103" s="12">
        <v>0</v>
      </c>
      <c r="BK103" s="12">
        <v>0</v>
      </c>
      <c r="BL103" s="12">
        <v>0</v>
      </c>
      <c r="BM103" s="12">
        <v>0</v>
      </c>
      <c r="BN103" s="12">
        <v>0</v>
      </c>
      <c r="BO103" s="12">
        <v>0</v>
      </c>
      <c r="BP103" s="12">
        <v>0</v>
      </c>
      <c r="BQ103" s="12">
        <v>0</v>
      </c>
      <c r="BR103" s="12">
        <v>0</v>
      </c>
      <c r="BS103" s="12">
        <v>0</v>
      </c>
      <c r="BT103" s="12">
        <v>0</v>
      </c>
      <c r="BU103" s="12">
        <v>0</v>
      </c>
      <c r="BV103" s="12">
        <v>0</v>
      </c>
      <c r="BW103" s="12">
        <v>0</v>
      </c>
      <c r="BX103" s="12">
        <v>0</v>
      </c>
      <c r="BY103" s="12">
        <v>0</v>
      </c>
      <c r="BZ103" s="12">
        <v>0</v>
      </c>
      <c r="CB103" s="3" t="s">
        <v>108</v>
      </c>
    </row>
    <row r="104" spans="1:80" s="32" customFormat="1" x14ac:dyDescent="0.2">
      <c r="A104" s="21"/>
      <c r="B104" s="32" t="s">
        <v>90</v>
      </c>
      <c r="C104" s="15">
        <f>SUM(D104:BZ104)</f>
        <v>56845560.349999994</v>
      </c>
      <c r="D104" s="15">
        <f>D102-D103</f>
        <v>9408205</v>
      </c>
      <c r="E104" s="15">
        <f t="shared" ref="E104:BN104" si="53">E102-E103</f>
        <v>770770.1</v>
      </c>
      <c r="F104" s="15">
        <f t="shared" si="53"/>
        <v>93581.4</v>
      </c>
      <c r="G104" s="15">
        <f t="shared" si="53"/>
        <v>94943.1</v>
      </c>
      <c r="H104" s="15">
        <f t="shared" si="53"/>
        <v>410990.85</v>
      </c>
      <c r="I104" s="15">
        <f t="shared" si="53"/>
        <v>1202914.5</v>
      </c>
      <c r="J104" s="15">
        <f t="shared" si="53"/>
        <v>278048.55</v>
      </c>
      <c r="K104" s="15">
        <f t="shared" si="53"/>
        <v>84752.9</v>
      </c>
      <c r="L104" s="15">
        <f t="shared" si="53"/>
        <v>229923.4</v>
      </c>
      <c r="M104" s="15">
        <f t="shared" si="53"/>
        <v>48428.4</v>
      </c>
      <c r="N104" s="15">
        <f t="shared" si="53"/>
        <v>172184.4</v>
      </c>
      <c r="O104" s="15">
        <f t="shared" si="53"/>
        <v>983698.7</v>
      </c>
      <c r="P104" s="15">
        <f t="shared" si="53"/>
        <v>1230831.8500000001</v>
      </c>
      <c r="Q104" s="15">
        <f t="shared" si="53"/>
        <v>1063322.45</v>
      </c>
      <c r="R104" s="15">
        <f t="shared" si="53"/>
        <v>359025.45</v>
      </c>
      <c r="S104" s="15">
        <f t="shared" si="53"/>
        <v>756910</v>
      </c>
      <c r="T104" s="15">
        <f t="shared" si="53"/>
        <v>1035178.55</v>
      </c>
      <c r="U104" s="15">
        <f t="shared" si="53"/>
        <v>317642.40000000002</v>
      </c>
      <c r="V104" s="15">
        <f t="shared" si="53"/>
        <v>645304.35</v>
      </c>
      <c r="W104" s="15">
        <f t="shared" si="53"/>
        <v>917133.5</v>
      </c>
      <c r="X104" s="15">
        <f t="shared" si="53"/>
        <v>819403.1</v>
      </c>
      <c r="Y104" s="15">
        <f t="shared" si="53"/>
        <v>503943.7</v>
      </c>
      <c r="Z104" s="15">
        <f t="shared" si="53"/>
        <v>263697.40000000002</v>
      </c>
      <c r="AA104" s="15">
        <f t="shared" si="53"/>
        <v>1260905.8500000001</v>
      </c>
      <c r="AB104" s="15">
        <f t="shared" si="53"/>
        <v>113360.25</v>
      </c>
      <c r="AC104" s="15">
        <f t="shared" si="53"/>
        <v>622628.35</v>
      </c>
      <c r="AD104" s="15">
        <f t="shared" si="53"/>
        <v>233597.7</v>
      </c>
      <c r="AE104" s="15">
        <f t="shared" si="53"/>
        <v>692652.8</v>
      </c>
      <c r="AF104" s="15">
        <f t="shared" si="53"/>
        <v>237109.45</v>
      </c>
      <c r="AG104" s="15">
        <f t="shared" si="53"/>
        <v>468774</v>
      </c>
      <c r="AH104" s="15">
        <f t="shared" si="53"/>
        <v>1324873.5</v>
      </c>
      <c r="AI104" s="15">
        <f t="shared" si="53"/>
        <v>352531.5</v>
      </c>
      <c r="AJ104" s="15">
        <f t="shared" si="53"/>
        <v>821613.7</v>
      </c>
      <c r="AK104" s="15">
        <f t="shared" si="53"/>
        <v>606278.35</v>
      </c>
      <c r="AL104" s="15">
        <f t="shared" si="53"/>
        <v>423849</v>
      </c>
      <c r="AM104" s="15">
        <f t="shared" si="53"/>
        <v>1137198.3500000001</v>
      </c>
      <c r="AN104" s="15">
        <f t="shared" si="53"/>
        <v>167299.29999999999</v>
      </c>
      <c r="AO104" s="15">
        <f t="shared" si="53"/>
        <v>1074587.55</v>
      </c>
      <c r="AP104" s="15">
        <f t="shared" si="53"/>
        <v>839502.15</v>
      </c>
      <c r="AQ104" s="15">
        <f t="shared" si="53"/>
        <v>560969.35</v>
      </c>
      <c r="AR104" s="15">
        <f t="shared" si="53"/>
        <v>511463.4</v>
      </c>
      <c r="AS104" s="15">
        <f t="shared" si="53"/>
        <v>363495.9</v>
      </c>
      <c r="AT104" s="15">
        <f t="shared" si="53"/>
        <v>368474.85</v>
      </c>
      <c r="AU104" s="15">
        <f t="shared" si="53"/>
        <v>403380.05</v>
      </c>
      <c r="AV104" s="15">
        <f t="shared" si="53"/>
        <v>356888.1</v>
      </c>
      <c r="AW104" s="15">
        <f t="shared" si="53"/>
        <v>932177.7</v>
      </c>
      <c r="AX104" s="15">
        <f t="shared" si="53"/>
        <v>938746.7</v>
      </c>
      <c r="AY104" s="15">
        <f t="shared" si="53"/>
        <v>811151.05</v>
      </c>
      <c r="AZ104" s="15">
        <f t="shared" si="53"/>
        <v>920873</v>
      </c>
      <c r="BA104" s="15">
        <f t="shared" si="53"/>
        <v>2948011.3</v>
      </c>
      <c r="BB104" s="15">
        <f t="shared" si="53"/>
        <v>824830</v>
      </c>
      <c r="BC104" s="15">
        <f t="shared" si="53"/>
        <v>512690.45</v>
      </c>
      <c r="BD104" s="15">
        <f t="shared" si="53"/>
        <v>568824.19999999995</v>
      </c>
      <c r="BE104" s="15">
        <f t="shared" si="53"/>
        <v>392844.6</v>
      </c>
      <c r="BF104" s="15">
        <f t="shared" si="53"/>
        <v>474714</v>
      </c>
      <c r="BG104" s="15">
        <f t="shared" si="53"/>
        <v>173362.5</v>
      </c>
      <c r="BH104" s="15">
        <f t="shared" si="53"/>
        <v>596247.75</v>
      </c>
      <c r="BI104" s="15">
        <f t="shared" si="53"/>
        <v>542397.55000000005</v>
      </c>
      <c r="BJ104" s="15">
        <f t="shared" si="53"/>
        <v>123780.9</v>
      </c>
      <c r="BK104" s="15">
        <f t="shared" si="53"/>
        <v>112957.35</v>
      </c>
      <c r="BL104" s="15">
        <f t="shared" si="53"/>
        <v>744828.5</v>
      </c>
      <c r="BM104" s="15">
        <f t="shared" si="53"/>
        <v>242015.5</v>
      </c>
      <c r="BN104" s="15">
        <f t="shared" si="53"/>
        <v>618087.05000000005</v>
      </c>
      <c r="BO104" s="15">
        <f t="shared" ref="BO104:BZ104" si="54">BO102-BO103</f>
        <v>1314215.1000000001</v>
      </c>
      <c r="BP104" s="15">
        <f t="shared" si="54"/>
        <v>1028121</v>
      </c>
      <c r="BQ104" s="15">
        <f t="shared" si="54"/>
        <v>410197.65</v>
      </c>
      <c r="BR104" s="15">
        <f t="shared" si="54"/>
        <v>2391764.9500000002</v>
      </c>
      <c r="BS104" s="15">
        <f t="shared" si="54"/>
        <v>600072.30000000005</v>
      </c>
      <c r="BT104" s="15">
        <f t="shared" si="54"/>
        <v>496081</v>
      </c>
      <c r="BU104" s="15">
        <f t="shared" si="54"/>
        <v>124748.3</v>
      </c>
      <c r="BV104" s="15">
        <f t="shared" si="54"/>
        <v>316696.8</v>
      </c>
      <c r="BW104" s="15">
        <f t="shared" si="54"/>
        <v>1464108.35</v>
      </c>
      <c r="BX104" s="15">
        <f t="shared" si="54"/>
        <v>320376.40000000002</v>
      </c>
      <c r="BY104" s="15">
        <f t="shared" si="54"/>
        <v>355206.35</v>
      </c>
      <c r="BZ104" s="15">
        <f t="shared" si="54"/>
        <v>913164.55</v>
      </c>
      <c r="CA104" s="21"/>
      <c r="CB104" s="21"/>
    </row>
    <row r="105" spans="1:80" x14ac:dyDescent="0.2">
      <c r="B105" s="30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80" s="32" customFormat="1" x14ac:dyDescent="0.2">
      <c r="A106" s="25" t="s">
        <v>156</v>
      </c>
      <c r="B106" s="26" t="s">
        <v>3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27"/>
      <c r="CB106" s="35"/>
    </row>
    <row r="107" spans="1:80" x14ac:dyDescent="0.2">
      <c r="B107" s="30" t="s">
        <v>81</v>
      </c>
      <c r="C107" s="5">
        <f>SUM(D107:BZ107)</f>
        <v>75616147.550000012</v>
      </c>
      <c r="D107" s="9">
        <v>11329894.5</v>
      </c>
      <c r="E107" s="9">
        <v>1579510.75</v>
      </c>
      <c r="F107" s="9">
        <v>131279.29999999999</v>
      </c>
      <c r="G107" s="9">
        <v>133130.5</v>
      </c>
      <c r="H107" s="9">
        <v>743966.55</v>
      </c>
      <c r="I107" s="9">
        <v>2559906.9500000002</v>
      </c>
      <c r="J107" s="9">
        <v>350667.65</v>
      </c>
      <c r="K107" s="9">
        <v>106806.1</v>
      </c>
      <c r="L107" s="9">
        <v>194992.15</v>
      </c>
      <c r="M107" s="9">
        <v>196881.25</v>
      </c>
      <c r="N107" s="9">
        <v>285635.20000000001</v>
      </c>
      <c r="O107" s="9">
        <v>1081040.2</v>
      </c>
      <c r="P107" s="9">
        <v>1275960.3</v>
      </c>
      <c r="Q107" s="9">
        <v>1870330.7</v>
      </c>
      <c r="R107" s="9">
        <v>514285.5</v>
      </c>
      <c r="S107" s="9">
        <v>710360.4</v>
      </c>
      <c r="T107" s="9">
        <v>1385822.1</v>
      </c>
      <c r="U107" s="9">
        <v>943034.75</v>
      </c>
      <c r="V107" s="9">
        <v>1212071.6499999999</v>
      </c>
      <c r="W107" s="9">
        <v>1086500.7</v>
      </c>
      <c r="X107" s="9">
        <v>1325384.3500000001</v>
      </c>
      <c r="Y107" s="9">
        <v>980896.2</v>
      </c>
      <c r="Z107" s="9">
        <v>271345.05</v>
      </c>
      <c r="AA107" s="9">
        <v>1488016.4</v>
      </c>
      <c r="AB107" s="9">
        <v>353900.75</v>
      </c>
      <c r="AC107" s="9">
        <v>837942.25</v>
      </c>
      <c r="AD107" s="9">
        <v>111685.25</v>
      </c>
      <c r="AE107" s="9">
        <v>1020900.65</v>
      </c>
      <c r="AF107" s="9">
        <v>298386.3</v>
      </c>
      <c r="AG107" s="9">
        <v>1011942.4</v>
      </c>
      <c r="AH107" s="9">
        <v>1957432.9</v>
      </c>
      <c r="AI107" s="9">
        <v>329675.75</v>
      </c>
      <c r="AJ107" s="9">
        <v>573386.15</v>
      </c>
      <c r="AK107" s="9">
        <v>901627.8</v>
      </c>
      <c r="AL107" s="9">
        <v>590867.15</v>
      </c>
      <c r="AM107" s="9">
        <v>1275591.1000000001</v>
      </c>
      <c r="AN107" s="9">
        <v>111231.1</v>
      </c>
      <c r="AO107" s="9">
        <v>1080005.8500000001</v>
      </c>
      <c r="AP107" s="9">
        <v>983210.85</v>
      </c>
      <c r="AQ107" s="9">
        <v>669471.80000000005</v>
      </c>
      <c r="AR107" s="9">
        <v>426624.2</v>
      </c>
      <c r="AS107" s="9">
        <v>665213.44999999995</v>
      </c>
      <c r="AT107" s="9">
        <v>461591.6</v>
      </c>
      <c r="AU107" s="9">
        <v>499040.3</v>
      </c>
      <c r="AV107" s="9">
        <v>205808</v>
      </c>
      <c r="AW107" s="9">
        <v>443371.65</v>
      </c>
      <c r="AX107" s="9">
        <v>615449.55000000005</v>
      </c>
      <c r="AY107" s="9">
        <v>1406183.75</v>
      </c>
      <c r="AZ107" s="9">
        <v>1222581.75</v>
      </c>
      <c r="BA107" s="9">
        <v>5039182.2</v>
      </c>
      <c r="BB107" s="9">
        <v>973922.2</v>
      </c>
      <c r="BC107" s="9">
        <v>442812.75</v>
      </c>
      <c r="BD107" s="9">
        <v>283496.65000000002</v>
      </c>
      <c r="BE107" s="9">
        <v>580911.35</v>
      </c>
      <c r="BF107" s="9">
        <v>626746.44999999995</v>
      </c>
      <c r="BG107" s="9">
        <v>314148.5</v>
      </c>
      <c r="BH107" s="9">
        <v>573277.70000000007</v>
      </c>
      <c r="BI107" s="9">
        <v>428076.45</v>
      </c>
      <c r="BJ107" s="9">
        <v>81328.55</v>
      </c>
      <c r="BK107" s="9">
        <v>257067.5</v>
      </c>
      <c r="BL107" s="9">
        <v>1136686.7</v>
      </c>
      <c r="BM107" s="9">
        <v>205770.95</v>
      </c>
      <c r="BN107" s="9">
        <v>1090890.05</v>
      </c>
      <c r="BO107" s="9">
        <v>2216997.7000000002</v>
      </c>
      <c r="BP107" s="9">
        <v>2399549.9500000002</v>
      </c>
      <c r="BQ107" s="9">
        <v>138034.4</v>
      </c>
      <c r="BR107" s="9">
        <v>3015645.75</v>
      </c>
      <c r="BS107" s="9">
        <v>614925.44999999995</v>
      </c>
      <c r="BT107" s="9">
        <v>361152.35</v>
      </c>
      <c r="BU107" s="9">
        <v>203080.05</v>
      </c>
      <c r="BV107" s="9">
        <v>482885.75</v>
      </c>
      <c r="BW107" s="9">
        <v>2306942.7000000002</v>
      </c>
      <c r="BX107" s="9">
        <v>301565.7</v>
      </c>
      <c r="BY107" s="9">
        <v>200977</v>
      </c>
      <c r="BZ107" s="9">
        <v>1529231.25</v>
      </c>
      <c r="CB107" s="3" t="s">
        <v>107</v>
      </c>
    </row>
    <row r="108" spans="1:80" x14ac:dyDescent="0.2">
      <c r="B108" s="30" t="s">
        <v>86</v>
      </c>
      <c r="C108" s="5">
        <f>SUM(D108:BZ108)</f>
        <v>3516.3500000000004</v>
      </c>
      <c r="D108" s="9">
        <v>27.55</v>
      </c>
      <c r="E108" s="9">
        <v>4.5</v>
      </c>
      <c r="F108" s="9">
        <v>1.55</v>
      </c>
      <c r="G108" s="9">
        <v>3.25</v>
      </c>
      <c r="H108" s="9">
        <v>0</v>
      </c>
      <c r="I108" s="9">
        <v>29.3</v>
      </c>
      <c r="J108" s="9">
        <v>0.65</v>
      </c>
      <c r="K108" s="9">
        <v>0</v>
      </c>
      <c r="L108" s="9">
        <v>0</v>
      </c>
      <c r="M108" s="9">
        <v>57.55</v>
      </c>
      <c r="N108" s="9">
        <v>0</v>
      </c>
      <c r="O108" s="9">
        <v>0</v>
      </c>
      <c r="P108" s="9">
        <v>0</v>
      </c>
      <c r="Q108" s="9">
        <v>33.700000000000003</v>
      </c>
      <c r="R108" s="9">
        <v>4.8499999999999996</v>
      </c>
      <c r="S108" s="9">
        <v>13.6</v>
      </c>
      <c r="T108" s="9">
        <v>14.7</v>
      </c>
      <c r="U108" s="9">
        <v>0</v>
      </c>
      <c r="V108" s="9">
        <v>8.85</v>
      </c>
      <c r="W108" s="9">
        <v>0</v>
      </c>
      <c r="X108" s="9">
        <v>1.8</v>
      </c>
      <c r="Y108" s="9">
        <v>10.4</v>
      </c>
      <c r="Z108" s="9">
        <v>2.6</v>
      </c>
      <c r="AA108" s="9">
        <v>982.2</v>
      </c>
      <c r="AB108" s="9">
        <v>0.7</v>
      </c>
      <c r="AC108" s="9">
        <v>13.25</v>
      </c>
      <c r="AD108" s="9">
        <v>0</v>
      </c>
      <c r="AE108" s="9">
        <v>2.6</v>
      </c>
      <c r="AF108" s="9">
        <v>15.7</v>
      </c>
      <c r="AG108" s="9">
        <v>3.45</v>
      </c>
      <c r="AH108" s="9">
        <v>28.65</v>
      </c>
      <c r="AI108" s="9">
        <v>34.75</v>
      </c>
      <c r="AJ108" s="9">
        <v>0</v>
      </c>
      <c r="AK108" s="9">
        <v>5.85</v>
      </c>
      <c r="AL108" s="9">
        <v>6.55</v>
      </c>
      <c r="AM108" s="9">
        <v>11.35</v>
      </c>
      <c r="AN108" s="9">
        <v>0.05</v>
      </c>
      <c r="AO108" s="9">
        <v>111.8</v>
      </c>
      <c r="AP108" s="9">
        <v>12.499999999999993</v>
      </c>
      <c r="AQ108" s="9">
        <v>0</v>
      </c>
      <c r="AR108" s="9">
        <v>2.85</v>
      </c>
      <c r="AS108" s="9">
        <v>4.25</v>
      </c>
      <c r="AT108" s="9">
        <v>0</v>
      </c>
      <c r="AU108" s="9">
        <v>34.200000000000003</v>
      </c>
      <c r="AV108" s="9">
        <v>1.75</v>
      </c>
      <c r="AW108" s="9">
        <v>11.8</v>
      </c>
      <c r="AX108" s="9">
        <v>129.29999999999998</v>
      </c>
      <c r="AY108" s="9">
        <v>0</v>
      </c>
      <c r="AZ108" s="9">
        <v>10.75</v>
      </c>
      <c r="BA108" s="9">
        <v>568.1</v>
      </c>
      <c r="BB108" s="9">
        <v>12.05</v>
      </c>
      <c r="BC108" s="9">
        <v>10.25</v>
      </c>
      <c r="BD108" s="9">
        <v>3.1</v>
      </c>
      <c r="BE108" s="9">
        <v>0</v>
      </c>
      <c r="BF108" s="9">
        <v>0.05</v>
      </c>
      <c r="BG108" s="9">
        <v>0</v>
      </c>
      <c r="BH108" s="9">
        <v>27.05</v>
      </c>
      <c r="BI108" s="9">
        <v>16.899999999999999</v>
      </c>
      <c r="BJ108" s="9">
        <v>0</v>
      </c>
      <c r="BK108" s="9">
        <v>0</v>
      </c>
      <c r="BL108" s="9">
        <v>9.4499999999999993</v>
      </c>
      <c r="BM108" s="9">
        <v>0</v>
      </c>
      <c r="BN108" s="9">
        <v>-1018.6500000000001</v>
      </c>
      <c r="BO108" s="9">
        <v>1589.15</v>
      </c>
      <c r="BP108" s="9">
        <v>482.4</v>
      </c>
      <c r="BQ108" s="9">
        <v>0</v>
      </c>
      <c r="BR108" s="9">
        <v>121.35</v>
      </c>
      <c r="BS108" s="9">
        <v>14.95</v>
      </c>
      <c r="BT108" s="9">
        <v>0</v>
      </c>
      <c r="BU108" s="9">
        <v>0</v>
      </c>
      <c r="BV108" s="9">
        <v>5.9</v>
      </c>
      <c r="BW108" s="9">
        <v>19.800000000000004</v>
      </c>
      <c r="BX108" s="9">
        <v>3.3</v>
      </c>
      <c r="BY108" s="9">
        <v>1.55</v>
      </c>
      <c r="BZ108" s="9">
        <v>10.5</v>
      </c>
      <c r="CB108" s="3" t="s">
        <v>107</v>
      </c>
    </row>
    <row r="109" spans="1:80" s="32" customFormat="1" x14ac:dyDescent="0.2">
      <c r="A109" s="21"/>
      <c r="B109" s="32" t="s">
        <v>90</v>
      </c>
      <c r="C109" s="15">
        <f>SUM(D109:BZ109)</f>
        <v>75612631.199999988</v>
      </c>
      <c r="D109" s="15">
        <f>D107-D108</f>
        <v>11329866.949999999</v>
      </c>
      <c r="E109" s="15">
        <f t="shared" ref="E109:BN109" si="55">E107-E108</f>
        <v>1579506.25</v>
      </c>
      <c r="F109" s="15">
        <f t="shared" si="55"/>
        <v>131277.75</v>
      </c>
      <c r="G109" s="15">
        <f t="shared" si="55"/>
        <v>133127.25</v>
      </c>
      <c r="H109" s="15">
        <f t="shared" si="55"/>
        <v>743966.55</v>
      </c>
      <c r="I109" s="15">
        <f t="shared" si="55"/>
        <v>2559877.6500000004</v>
      </c>
      <c r="J109" s="15">
        <f t="shared" si="55"/>
        <v>350667</v>
      </c>
      <c r="K109" s="15">
        <f t="shared" si="55"/>
        <v>106806.1</v>
      </c>
      <c r="L109" s="15">
        <f t="shared" si="55"/>
        <v>194992.15</v>
      </c>
      <c r="M109" s="15">
        <f t="shared" si="55"/>
        <v>196823.7</v>
      </c>
      <c r="N109" s="15">
        <f t="shared" si="55"/>
        <v>285635.20000000001</v>
      </c>
      <c r="O109" s="15">
        <f t="shared" si="55"/>
        <v>1081040.2</v>
      </c>
      <c r="P109" s="15">
        <f t="shared" si="55"/>
        <v>1275960.3</v>
      </c>
      <c r="Q109" s="15">
        <f t="shared" si="55"/>
        <v>1870297</v>
      </c>
      <c r="R109" s="15">
        <f t="shared" si="55"/>
        <v>514280.65</v>
      </c>
      <c r="S109" s="15">
        <f t="shared" si="55"/>
        <v>710346.8</v>
      </c>
      <c r="T109" s="15">
        <f t="shared" si="55"/>
        <v>1385807.4000000001</v>
      </c>
      <c r="U109" s="15">
        <f t="shared" si="55"/>
        <v>943034.75</v>
      </c>
      <c r="V109" s="15">
        <f t="shared" si="55"/>
        <v>1212062.7999999998</v>
      </c>
      <c r="W109" s="15">
        <f t="shared" si="55"/>
        <v>1086500.7</v>
      </c>
      <c r="X109" s="15">
        <f t="shared" si="55"/>
        <v>1325382.55</v>
      </c>
      <c r="Y109" s="15">
        <f t="shared" si="55"/>
        <v>980885.79999999993</v>
      </c>
      <c r="Z109" s="15">
        <f t="shared" si="55"/>
        <v>271342.45</v>
      </c>
      <c r="AA109" s="15">
        <f t="shared" si="55"/>
        <v>1487034.2</v>
      </c>
      <c r="AB109" s="15">
        <f t="shared" si="55"/>
        <v>353900.05</v>
      </c>
      <c r="AC109" s="15">
        <f t="shared" si="55"/>
        <v>837929</v>
      </c>
      <c r="AD109" s="15">
        <f t="shared" si="55"/>
        <v>111685.25</v>
      </c>
      <c r="AE109" s="15">
        <f t="shared" si="55"/>
        <v>1020898.05</v>
      </c>
      <c r="AF109" s="15">
        <f t="shared" si="55"/>
        <v>298370.59999999998</v>
      </c>
      <c r="AG109" s="15">
        <f t="shared" si="55"/>
        <v>1011938.9500000001</v>
      </c>
      <c r="AH109" s="15">
        <f t="shared" si="55"/>
        <v>1957404.25</v>
      </c>
      <c r="AI109" s="15">
        <f t="shared" si="55"/>
        <v>329641</v>
      </c>
      <c r="AJ109" s="15">
        <f t="shared" si="55"/>
        <v>573386.15</v>
      </c>
      <c r="AK109" s="15">
        <f t="shared" si="55"/>
        <v>901621.95000000007</v>
      </c>
      <c r="AL109" s="15">
        <f t="shared" si="55"/>
        <v>590860.6</v>
      </c>
      <c r="AM109" s="15">
        <f t="shared" si="55"/>
        <v>1275579.75</v>
      </c>
      <c r="AN109" s="15">
        <f t="shared" si="55"/>
        <v>111231.05</v>
      </c>
      <c r="AO109" s="15">
        <f t="shared" si="55"/>
        <v>1079894.05</v>
      </c>
      <c r="AP109" s="15">
        <f t="shared" si="55"/>
        <v>983198.35</v>
      </c>
      <c r="AQ109" s="15">
        <f t="shared" si="55"/>
        <v>669471.80000000005</v>
      </c>
      <c r="AR109" s="15">
        <f t="shared" si="55"/>
        <v>426621.35000000003</v>
      </c>
      <c r="AS109" s="15">
        <f t="shared" si="55"/>
        <v>665209.19999999995</v>
      </c>
      <c r="AT109" s="15">
        <f t="shared" si="55"/>
        <v>461591.6</v>
      </c>
      <c r="AU109" s="15">
        <f t="shared" si="55"/>
        <v>499006.1</v>
      </c>
      <c r="AV109" s="15">
        <f t="shared" si="55"/>
        <v>205806.25</v>
      </c>
      <c r="AW109" s="15">
        <f t="shared" si="55"/>
        <v>443359.85000000003</v>
      </c>
      <c r="AX109" s="15">
        <f t="shared" si="55"/>
        <v>615320.25</v>
      </c>
      <c r="AY109" s="15">
        <f t="shared" si="55"/>
        <v>1406183.75</v>
      </c>
      <c r="AZ109" s="15">
        <f t="shared" si="55"/>
        <v>1222571</v>
      </c>
      <c r="BA109" s="15">
        <f t="shared" si="55"/>
        <v>5038614.1000000006</v>
      </c>
      <c r="BB109" s="15">
        <f t="shared" si="55"/>
        <v>973910.14999999991</v>
      </c>
      <c r="BC109" s="15">
        <f t="shared" si="55"/>
        <v>442802.5</v>
      </c>
      <c r="BD109" s="15">
        <f t="shared" si="55"/>
        <v>283493.55000000005</v>
      </c>
      <c r="BE109" s="15">
        <f t="shared" si="55"/>
        <v>580911.35</v>
      </c>
      <c r="BF109" s="15">
        <f t="shared" si="55"/>
        <v>626746.39999999991</v>
      </c>
      <c r="BG109" s="15">
        <f t="shared" si="55"/>
        <v>314148.5</v>
      </c>
      <c r="BH109" s="15">
        <f t="shared" si="55"/>
        <v>573250.65</v>
      </c>
      <c r="BI109" s="15">
        <f t="shared" si="55"/>
        <v>428059.55</v>
      </c>
      <c r="BJ109" s="15">
        <f t="shared" si="55"/>
        <v>81328.55</v>
      </c>
      <c r="BK109" s="15">
        <f t="shared" si="55"/>
        <v>257067.5</v>
      </c>
      <c r="BL109" s="15">
        <f t="shared" si="55"/>
        <v>1136677.25</v>
      </c>
      <c r="BM109" s="15">
        <f t="shared" si="55"/>
        <v>205770.95</v>
      </c>
      <c r="BN109" s="15">
        <f t="shared" si="55"/>
        <v>1091908.7</v>
      </c>
      <c r="BO109" s="15">
        <f t="shared" ref="BO109:BZ109" si="56">BO107-BO108</f>
        <v>2215408.5500000003</v>
      </c>
      <c r="BP109" s="15">
        <f t="shared" si="56"/>
        <v>2399067.5500000003</v>
      </c>
      <c r="BQ109" s="15">
        <f t="shared" si="56"/>
        <v>138034.4</v>
      </c>
      <c r="BR109" s="15">
        <f t="shared" si="56"/>
        <v>3015524.4</v>
      </c>
      <c r="BS109" s="15">
        <f t="shared" si="56"/>
        <v>614910.5</v>
      </c>
      <c r="BT109" s="15">
        <f t="shared" si="56"/>
        <v>361152.35</v>
      </c>
      <c r="BU109" s="15">
        <f t="shared" si="56"/>
        <v>203080.05</v>
      </c>
      <c r="BV109" s="15">
        <f t="shared" si="56"/>
        <v>482879.85</v>
      </c>
      <c r="BW109" s="15">
        <f t="shared" si="56"/>
        <v>2306922.9000000004</v>
      </c>
      <c r="BX109" s="15">
        <f t="shared" si="56"/>
        <v>301562.40000000002</v>
      </c>
      <c r="BY109" s="15">
        <f t="shared" si="56"/>
        <v>200975.45</v>
      </c>
      <c r="BZ109" s="15">
        <f t="shared" si="56"/>
        <v>1529220.75</v>
      </c>
      <c r="CA109" s="21"/>
      <c r="CB109" s="21"/>
    </row>
    <row r="110" spans="1:80" x14ac:dyDescent="0.2">
      <c r="B110" s="30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80" x14ac:dyDescent="0.2">
      <c r="B111" s="30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80" s="57" customFormat="1" ht="15.75" x14ac:dyDescent="0.25">
      <c r="A112" s="22" t="s">
        <v>99</v>
      </c>
      <c r="B112" s="22" t="s">
        <v>93</v>
      </c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22"/>
      <c r="CB112" s="22"/>
    </row>
    <row r="113" spans="1:80" x14ac:dyDescent="0.2">
      <c r="B113" s="30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80" x14ac:dyDescent="0.2">
      <c r="A114" s="35" t="s">
        <v>157</v>
      </c>
      <c r="B114" s="27" t="s">
        <v>362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35"/>
      <c r="CB114" s="35"/>
    </row>
    <row r="115" spans="1:80" x14ac:dyDescent="0.2">
      <c r="B115" s="30" t="s">
        <v>4</v>
      </c>
      <c r="C115" s="47">
        <f t="shared" ref="C115:AH115" si="57">C21</f>
        <v>1289606551.3855174</v>
      </c>
      <c r="D115" s="47">
        <f t="shared" si="57"/>
        <v>193160293.1612564</v>
      </c>
      <c r="E115" s="47">
        <f t="shared" si="57"/>
        <v>20871639.113750201</v>
      </c>
      <c r="F115" s="47">
        <f t="shared" si="57"/>
        <v>3226202.3351107379</v>
      </c>
      <c r="G115" s="47">
        <f t="shared" si="57"/>
        <v>2605486.1313970946</v>
      </c>
      <c r="H115" s="47">
        <f t="shared" si="57"/>
        <v>18840472.051783793</v>
      </c>
      <c r="I115" s="47">
        <f t="shared" si="57"/>
        <v>25609703.273051992</v>
      </c>
      <c r="J115" s="47">
        <f t="shared" si="57"/>
        <v>8527891.8886637669</v>
      </c>
      <c r="K115" s="47">
        <f t="shared" si="57"/>
        <v>2261471.8179967776</v>
      </c>
      <c r="L115" s="47">
        <f t="shared" si="57"/>
        <v>5142322.0468134275</v>
      </c>
      <c r="M115" s="47">
        <f t="shared" si="57"/>
        <v>2712314.7041736855</v>
      </c>
      <c r="N115" s="47">
        <f t="shared" si="57"/>
        <v>5786338.1727927681</v>
      </c>
      <c r="O115" s="47">
        <f t="shared" si="57"/>
        <v>20779220.605926313</v>
      </c>
      <c r="P115" s="47">
        <f t="shared" si="57"/>
        <v>16392139.960630482</v>
      </c>
      <c r="Q115" s="47">
        <f t="shared" si="57"/>
        <v>18232658.48957549</v>
      </c>
      <c r="R115" s="47">
        <f t="shared" si="57"/>
        <v>6800178.3485072814</v>
      </c>
      <c r="S115" s="47">
        <f t="shared" si="57"/>
        <v>10346688.194179446</v>
      </c>
      <c r="T115" s="47">
        <f t="shared" si="57"/>
        <v>20328039.81150746</v>
      </c>
      <c r="U115" s="47">
        <f t="shared" si="57"/>
        <v>11971186.933587825</v>
      </c>
      <c r="V115" s="47">
        <f t="shared" si="57"/>
        <v>18156774.188718159</v>
      </c>
      <c r="W115" s="47">
        <f t="shared" si="57"/>
        <v>16650482.070678309</v>
      </c>
      <c r="X115" s="47">
        <f t="shared" si="57"/>
        <v>25910674.496842995</v>
      </c>
      <c r="Y115" s="47">
        <f t="shared" si="57"/>
        <v>11846872.872996729</v>
      </c>
      <c r="Z115" s="47">
        <f t="shared" si="57"/>
        <v>4670901.363502969</v>
      </c>
      <c r="AA115" s="47">
        <f t="shared" si="57"/>
        <v>27883730.964954227</v>
      </c>
      <c r="AB115" s="47">
        <f t="shared" si="57"/>
        <v>3364593.2081301892</v>
      </c>
      <c r="AC115" s="47">
        <f t="shared" si="57"/>
        <v>19735874.115440119</v>
      </c>
      <c r="AD115" s="47">
        <f t="shared" si="57"/>
        <v>5215688.7740423866</v>
      </c>
      <c r="AE115" s="47">
        <f t="shared" si="57"/>
        <v>13209279.657732004</v>
      </c>
      <c r="AF115" s="47">
        <f t="shared" si="57"/>
        <v>7720758.7371823769</v>
      </c>
      <c r="AG115" s="47">
        <f t="shared" si="57"/>
        <v>16527185.739286985</v>
      </c>
      <c r="AH115" s="47">
        <f t="shared" si="57"/>
        <v>30422929.982725833</v>
      </c>
      <c r="AI115" s="47">
        <f t="shared" ref="AI115:BL115" si="58">AI21</f>
        <v>10727879.313679541</v>
      </c>
      <c r="AJ115" s="47">
        <f t="shared" si="58"/>
        <v>9877818.126432132</v>
      </c>
      <c r="AK115" s="47">
        <f t="shared" si="58"/>
        <v>13798679.213755369</v>
      </c>
      <c r="AL115" s="47">
        <f t="shared" si="58"/>
        <v>10353522.732976492</v>
      </c>
      <c r="AM115" s="47">
        <f t="shared" si="58"/>
        <v>17898000.712196708</v>
      </c>
      <c r="AN115" s="47">
        <f t="shared" si="58"/>
        <v>2826554.8352551982</v>
      </c>
      <c r="AO115" s="47">
        <f t="shared" si="58"/>
        <v>19012184.75692727</v>
      </c>
      <c r="AP115" s="47">
        <f t="shared" si="58"/>
        <v>10109164.90626391</v>
      </c>
      <c r="AQ115" s="47">
        <f t="shared" si="58"/>
        <v>13933211.970234625</v>
      </c>
      <c r="AR115" s="47">
        <f t="shared" si="58"/>
        <v>7184028.90083698</v>
      </c>
      <c r="AS115" s="47">
        <f t="shared" si="58"/>
        <v>5641883.9708479391</v>
      </c>
      <c r="AT115" s="47">
        <f t="shared" si="58"/>
        <v>5370925.8481053179</v>
      </c>
      <c r="AU115" s="47">
        <f t="shared" si="58"/>
        <v>7540087.6669514915</v>
      </c>
      <c r="AV115" s="47">
        <f t="shared" si="58"/>
        <v>6273491.5294472445</v>
      </c>
      <c r="AW115" s="47">
        <f t="shared" si="58"/>
        <v>11139311.11634472</v>
      </c>
      <c r="AX115" s="47">
        <f t="shared" si="58"/>
        <v>15078009.480527703</v>
      </c>
      <c r="AY115" s="47">
        <f t="shared" si="58"/>
        <v>14217542.201198423</v>
      </c>
      <c r="AZ115" s="47">
        <f t="shared" si="58"/>
        <v>10778051.744272152</v>
      </c>
      <c r="BA115" s="47">
        <f t="shared" si="58"/>
        <v>113554612.89195648</v>
      </c>
      <c r="BB115" s="47">
        <f t="shared" si="58"/>
        <v>25022455.35296325</v>
      </c>
      <c r="BC115" s="47">
        <f t="shared" si="58"/>
        <v>6275100.5772272199</v>
      </c>
      <c r="BD115" s="47">
        <f t="shared" si="58"/>
        <v>7092603.0453269742</v>
      </c>
      <c r="BE115" s="47">
        <f t="shared" si="58"/>
        <v>9458077.2069536988</v>
      </c>
      <c r="BF115" s="47">
        <f t="shared" si="58"/>
        <v>17060120.864842016</v>
      </c>
      <c r="BG115" s="47">
        <f t="shared" si="58"/>
        <v>4055208.2135955342</v>
      </c>
      <c r="BH115" s="47">
        <f t="shared" ref="BH115" si="59">BH21</f>
        <v>10774522.611266285</v>
      </c>
      <c r="BI115" s="47">
        <f t="shared" si="58"/>
        <v>10272909.573509483</v>
      </c>
      <c r="BJ115" s="47">
        <f t="shared" si="58"/>
        <v>3028289.016889873</v>
      </c>
      <c r="BK115" s="47">
        <f t="shared" si="58"/>
        <v>5289180.7404133137</v>
      </c>
      <c r="BL115" s="47">
        <f t="shared" si="58"/>
        <v>19593685.666060284</v>
      </c>
      <c r="BM115" s="47">
        <f t="shared" ref="BM115:BZ115" si="60">BM21</f>
        <v>9106530.7558793258</v>
      </c>
      <c r="BN115" s="47">
        <f t="shared" si="60"/>
        <v>15681482.331438387</v>
      </c>
      <c r="BO115" s="47">
        <f t="shared" si="60"/>
        <v>27628971.121297467</v>
      </c>
      <c r="BP115" s="47">
        <f t="shared" si="60"/>
        <v>21227723.131489675</v>
      </c>
      <c r="BQ115" s="47">
        <f t="shared" si="60"/>
        <v>7358937.5739660179</v>
      </c>
      <c r="BR115" s="47">
        <f t="shared" si="60"/>
        <v>65747636.640443899</v>
      </c>
      <c r="BS115" s="47">
        <f t="shared" si="60"/>
        <v>17475849.413813811</v>
      </c>
      <c r="BT115" s="47">
        <f t="shared" si="60"/>
        <v>10225122.934787706</v>
      </c>
      <c r="BU115" s="47">
        <f t="shared" si="60"/>
        <v>3461187.3282587905</v>
      </c>
      <c r="BV115" s="47">
        <f t="shared" si="60"/>
        <v>7568020.5178967416</v>
      </c>
      <c r="BW115" s="47">
        <f t="shared" si="60"/>
        <v>45730423.458684534</v>
      </c>
      <c r="BX115" s="47">
        <f t="shared" si="60"/>
        <v>5503944.2441543676</v>
      </c>
      <c r="BY115" s="47">
        <f t="shared" si="60"/>
        <v>7990538.0142274937</v>
      </c>
      <c r="BZ115" s="47">
        <f t="shared" si="60"/>
        <v>26753075.918983631</v>
      </c>
    </row>
    <row r="116" spans="1:80" x14ac:dyDescent="0.2">
      <c r="B116" s="30" t="s">
        <v>0</v>
      </c>
      <c r="C116" s="47">
        <f t="shared" ref="C116:AH116" si="61">C26</f>
        <v>65197048.829999983</v>
      </c>
      <c r="D116" s="47">
        <f t="shared" si="61"/>
        <v>13825625.970000001</v>
      </c>
      <c r="E116" s="47">
        <f t="shared" si="61"/>
        <v>645770.29999999993</v>
      </c>
      <c r="F116" s="47">
        <f t="shared" si="61"/>
        <v>93615.9</v>
      </c>
      <c r="G116" s="47">
        <f t="shared" si="61"/>
        <v>59050.600000000006</v>
      </c>
      <c r="H116" s="47">
        <f t="shared" si="61"/>
        <v>63517.900000000009</v>
      </c>
      <c r="I116" s="47">
        <f t="shared" si="61"/>
        <v>753594.7</v>
      </c>
      <c r="J116" s="47">
        <f t="shared" si="61"/>
        <v>685673.60000000009</v>
      </c>
      <c r="K116" s="47">
        <f t="shared" si="61"/>
        <v>42638.45</v>
      </c>
      <c r="L116" s="47">
        <f t="shared" si="61"/>
        <v>62718.7</v>
      </c>
      <c r="M116" s="47">
        <f t="shared" si="61"/>
        <v>23888.55</v>
      </c>
      <c r="N116" s="47">
        <f t="shared" si="61"/>
        <v>39640.5</v>
      </c>
      <c r="O116" s="47">
        <f t="shared" si="61"/>
        <v>520745.10000000003</v>
      </c>
      <c r="P116" s="47">
        <f t="shared" si="61"/>
        <v>2065757.9500000002</v>
      </c>
      <c r="Q116" s="47">
        <f t="shared" si="61"/>
        <v>1556497</v>
      </c>
      <c r="R116" s="47">
        <f t="shared" si="61"/>
        <v>455328.5</v>
      </c>
      <c r="S116" s="47">
        <f t="shared" si="61"/>
        <v>2233406.5500000003</v>
      </c>
      <c r="T116" s="47">
        <f t="shared" si="61"/>
        <v>2529506.5500000003</v>
      </c>
      <c r="U116" s="47">
        <f t="shared" si="61"/>
        <v>587184.85</v>
      </c>
      <c r="V116" s="47">
        <f t="shared" si="61"/>
        <v>2516563.5000000005</v>
      </c>
      <c r="W116" s="47">
        <f t="shared" si="61"/>
        <v>2025679.5499999998</v>
      </c>
      <c r="X116" s="47">
        <f t="shared" si="61"/>
        <v>2401749.96</v>
      </c>
      <c r="Y116" s="47">
        <f t="shared" si="61"/>
        <v>711299.6</v>
      </c>
      <c r="Z116" s="47">
        <f t="shared" si="61"/>
        <v>223452.15</v>
      </c>
      <c r="AA116" s="47">
        <f t="shared" si="61"/>
        <v>2379300.2000000002</v>
      </c>
      <c r="AB116" s="47">
        <f t="shared" si="61"/>
        <v>99737.7</v>
      </c>
      <c r="AC116" s="47">
        <f t="shared" si="61"/>
        <v>1617718.7999999998</v>
      </c>
      <c r="AD116" s="47">
        <f t="shared" si="61"/>
        <v>479745.04999999993</v>
      </c>
      <c r="AE116" s="47">
        <f t="shared" si="61"/>
        <v>2045902.4499999997</v>
      </c>
      <c r="AF116" s="47">
        <f t="shared" si="61"/>
        <v>329387.74999999994</v>
      </c>
      <c r="AG116" s="47">
        <f t="shared" si="61"/>
        <v>1262946.9000000001</v>
      </c>
      <c r="AH116" s="47">
        <f t="shared" si="61"/>
        <v>2752623.3000000003</v>
      </c>
      <c r="AI116" s="47">
        <f t="shared" ref="AI116:BL116" si="62">AI26</f>
        <v>820936.9</v>
      </c>
      <c r="AJ116" s="47">
        <f t="shared" si="62"/>
        <v>685271.99999999988</v>
      </c>
      <c r="AK116" s="47">
        <f t="shared" si="62"/>
        <v>663039.05000000005</v>
      </c>
      <c r="AL116" s="47">
        <f t="shared" si="62"/>
        <v>310036.90000000002</v>
      </c>
      <c r="AM116" s="47">
        <f t="shared" si="62"/>
        <v>866746.89999999991</v>
      </c>
      <c r="AN116" s="47">
        <f t="shared" si="62"/>
        <v>247276.59999999998</v>
      </c>
      <c r="AO116" s="47">
        <f t="shared" si="62"/>
        <v>379483.49999999988</v>
      </c>
      <c r="AP116" s="47">
        <f t="shared" si="62"/>
        <v>372301.25</v>
      </c>
      <c r="AQ116" s="47">
        <f t="shared" si="62"/>
        <v>486243.2</v>
      </c>
      <c r="AR116" s="47">
        <f t="shared" si="62"/>
        <v>244932.2</v>
      </c>
      <c r="AS116" s="47">
        <f t="shared" si="62"/>
        <v>69489.549999999988</v>
      </c>
      <c r="AT116" s="47">
        <f t="shared" si="62"/>
        <v>110607.55</v>
      </c>
      <c r="AU116" s="47">
        <f t="shared" si="62"/>
        <v>174357</v>
      </c>
      <c r="AV116" s="47">
        <f t="shared" si="62"/>
        <v>241988.90000000002</v>
      </c>
      <c r="AW116" s="47">
        <f t="shared" si="62"/>
        <v>222116</v>
      </c>
      <c r="AX116" s="47">
        <f t="shared" si="62"/>
        <v>248570.4</v>
      </c>
      <c r="AY116" s="47">
        <f t="shared" si="62"/>
        <v>541502.65</v>
      </c>
      <c r="AZ116" s="47">
        <f t="shared" si="62"/>
        <v>270106.49999999994</v>
      </c>
      <c r="BA116" s="47">
        <f t="shared" si="62"/>
        <v>2957692.25</v>
      </c>
      <c r="BB116" s="47">
        <f t="shared" si="62"/>
        <v>555159.15</v>
      </c>
      <c r="BC116" s="47">
        <f t="shared" si="62"/>
        <v>214806.95</v>
      </c>
      <c r="BD116" s="47">
        <f t="shared" si="62"/>
        <v>106836.09999999999</v>
      </c>
      <c r="BE116" s="47">
        <f t="shared" si="62"/>
        <v>162115.89999999997</v>
      </c>
      <c r="BF116" s="47">
        <f t="shared" si="62"/>
        <v>457446.64999999997</v>
      </c>
      <c r="BG116" s="47">
        <f t="shared" si="62"/>
        <v>120019.34999999999</v>
      </c>
      <c r="BH116" s="47">
        <f t="shared" ref="BH116" si="63">BH26</f>
        <v>194734.69999999998</v>
      </c>
      <c r="BI116" s="47">
        <f t="shared" si="62"/>
        <v>284018.40000000002</v>
      </c>
      <c r="BJ116" s="47">
        <f t="shared" si="62"/>
        <v>96376.1</v>
      </c>
      <c r="BK116" s="47">
        <f t="shared" si="62"/>
        <v>59809.250000000007</v>
      </c>
      <c r="BL116" s="47">
        <f t="shared" si="62"/>
        <v>1130069.8</v>
      </c>
      <c r="BM116" s="47">
        <f t="shared" ref="BM116:BZ116" si="64">BM26</f>
        <v>256052.2</v>
      </c>
      <c r="BN116" s="47">
        <f t="shared" si="64"/>
        <v>410995.24999999994</v>
      </c>
      <c r="BO116" s="47">
        <f t="shared" si="64"/>
        <v>1104723.8999999997</v>
      </c>
      <c r="BP116" s="47">
        <f t="shared" si="64"/>
        <v>647189.10000000009</v>
      </c>
      <c r="BQ116" s="47">
        <f t="shared" si="64"/>
        <v>250204.99999999994</v>
      </c>
      <c r="BR116" s="47">
        <f t="shared" si="64"/>
        <v>1893342.15</v>
      </c>
      <c r="BS116" s="47">
        <f t="shared" si="64"/>
        <v>199027.64999999997</v>
      </c>
      <c r="BT116" s="47">
        <f t="shared" si="64"/>
        <v>299461.00000000006</v>
      </c>
      <c r="BU116" s="47">
        <f t="shared" si="64"/>
        <v>76063.05</v>
      </c>
      <c r="BV116" s="47">
        <f t="shared" si="64"/>
        <v>80977.399999999994</v>
      </c>
      <c r="BW116" s="47">
        <f t="shared" si="64"/>
        <v>1108742.8999999999</v>
      </c>
      <c r="BX116" s="47">
        <f t="shared" si="64"/>
        <v>52997.25</v>
      </c>
      <c r="BY116" s="47">
        <f t="shared" si="64"/>
        <v>157990.20000000001</v>
      </c>
      <c r="BZ116" s="47">
        <f t="shared" si="64"/>
        <v>274921.55</v>
      </c>
    </row>
    <row r="117" spans="1:80" x14ac:dyDescent="0.2">
      <c r="B117" s="30" t="s">
        <v>1</v>
      </c>
      <c r="C117" s="47">
        <f t="shared" ref="C117:AH117" si="65">C32</f>
        <v>156010528.44999999</v>
      </c>
      <c r="D117" s="47">
        <f t="shared" si="65"/>
        <v>35757939.600000001</v>
      </c>
      <c r="E117" s="47">
        <f t="shared" si="65"/>
        <v>1608483.55</v>
      </c>
      <c r="F117" s="47">
        <f t="shared" si="65"/>
        <v>143046.9</v>
      </c>
      <c r="G117" s="47">
        <f t="shared" si="65"/>
        <v>70739.950000000012</v>
      </c>
      <c r="H117" s="47">
        <f t="shared" si="65"/>
        <v>563599.65</v>
      </c>
      <c r="I117" s="47">
        <f t="shared" si="65"/>
        <v>4268743.75</v>
      </c>
      <c r="J117" s="47">
        <f t="shared" si="65"/>
        <v>2090804.7</v>
      </c>
      <c r="K117" s="47">
        <f t="shared" si="65"/>
        <v>45063.25</v>
      </c>
      <c r="L117" s="47">
        <f t="shared" si="65"/>
        <v>433887.14999999997</v>
      </c>
      <c r="M117" s="47">
        <f t="shared" si="65"/>
        <v>57662.15</v>
      </c>
      <c r="N117" s="47">
        <f t="shared" si="65"/>
        <v>78841.350000000006</v>
      </c>
      <c r="O117" s="47">
        <f t="shared" si="65"/>
        <v>469608.8</v>
      </c>
      <c r="P117" s="47">
        <f t="shared" si="65"/>
        <v>3699467.8</v>
      </c>
      <c r="Q117" s="47">
        <f t="shared" si="65"/>
        <v>3466181.25</v>
      </c>
      <c r="R117" s="47">
        <f t="shared" si="65"/>
        <v>705502.5</v>
      </c>
      <c r="S117" s="47">
        <f t="shared" si="65"/>
        <v>1964181.2000000002</v>
      </c>
      <c r="T117" s="47">
        <f t="shared" si="65"/>
        <v>2586075.3000000003</v>
      </c>
      <c r="U117" s="47">
        <f t="shared" si="65"/>
        <v>820008.60000000009</v>
      </c>
      <c r="V117" s="47">
        <f t="shared" si="65"/>
        <v>5384618.8499999996</v>
      </c>
      <c r="W117" s="47">
        <f t="shared" si="65"/>
        <v>1721687.4</v>
      </c>
      <c r="X117" s="47">
        <f t="shared" si="65"/>
        <v>4782860.6000000006</v>
      </c>
      <c r="Y117" s="47">
        <f t="shared" si="65"/>
        <v>1712011.25</v>
      </c>
      <c r="Z117" s="47">
        <f t="shared" si="65"/>
        <v>206655.7</v>
      </c>
      <c r="AA117" s="47">
        <f t="shared" si="65"/>
        <v>3487948.3000000003</v>
      </c>
      <c r="AB117" s="47">
        <f t="shared" si="65"/>
        <v>77327.350000000006</v>
      </c>
      <c r="AC117" s="47">
        <f t="shared" si="65"/>
        <v>2028522.8499999999</v>
      </c>
      <c r="AD117" s="47">
        <f t="shared" si="65"/>
        <v>495884.25</v>
      </c>
      <c r="AE117" s="47">
        <f t="shared" si="65"/>
        <v>4944796.9000000004</v>
      </c>
      <c r="AF117" s="47">
        <f t="shared" si="65"/>
        <v>363537.89999999997</v>
      </c>
      <c r="AG117" s="47">
        <f t="shared" si="65"/>
        <v>935510.3</v>
      </c>
      <c r="AH117" s="47">
        <f t="shared" si="65"/>
        <v>635685.10000000009</v>
      </c>
      <c r="AI117" s="47">
        <f t="shared" ref="AI117:BL117" si="66">AI32</f>
        <v>567558.05000000005</v>
      </c>
      <c r="AJ117" s="47">
        <f t="shared" si="66"/>
        <v>702784.05</v>
      </c>
      <c r="AK117" s="47">
        <f t="shared" si="66"/>
        <v>1221706.1499999999</v>
      </c>
      <c r="AL117" s="47">
        <f t="shared" si="66"/>
        <v>672219.85</v>
      </c>
      <c r="AM117" s="47">
        <f t="shared" si="66"/>
        <v>1044185.6499999999</v>
      </c>
      <c r="AN117" s="47">
        <f t="shared" si="66"/>
        <v>84709.85</v>
      </c>
      <c r="AO117" s="47">
        <f t="shared" si="66"/>
        <v>1734202</v>
      </c>
      <c r="AP117" s="47">
        <f t="shared" si="66"/>
        <v>739165.15</v>
      </c>
      <c r="AQ117" s="47">
        <f t="shared" si="66"/>
        <v>589063.94999999995</v>
      </c>
      <c r="AR117" s="47">
        <f t="shared" si="66"/>
        <v>291430.8</v>
      </c>
      <c r="AS117" s="47">
        <f t="shared" si="66"/>
        <v>70475.55</v>
      </c>
      <c r="AT117" s="47">
        <f t="shared" si="66"/>
        <v>10762.4</v>
      </c>
      <c r="AU117" s="47">
        <f t="shared" si="66"/>
        <v>376421.1</v>
      </c>
      <c r="AV117" s="47">
        <f t="shared" si="66"/>
        <v>361457.3</v>
      </c>
      <c r="AW117" s="47">
        <f t="shared" si="66"/>
        <v>650584.55000000005</v>
      </c>
      <c r="AX117" s="47">
        <f t="shared" si="66"/>
        <v>506375.65</v>
      </c>
      <c r="AY117" s="47">
        <f t="shared" si="66"/>
        <v>1848931.55</v>
      </c>
      <c r="AZ117" s="47">
        <f t="shared" si="66"/>
        <v>792746.95000000007</v>
      </c>
      <c r="BA117" s="47">
        <f t="shared" si="66"/>
        <v>22740569.600000001</v>
      </c>
      <c r="BB117" s="47">
        <f t="shared" si="66"/>
        <v>1536277.3</v>
      </c>
      <c r="BC117" s="47">
        <f t="shared" si="66"/>
        <v>326732.15000000002</v>
      </c>
      <c r="BD117" s="47">
        <f t="shared" si="66"/>
        <v>375909.95</v>
      </c>
      <c r="BE117" s="47">
        <f t="shared" si="66"/>
        <v>1349433.65</v>
      </c>
      <c r="BF117" s="47">
        <f t="shared" si="66"/>
        <v>1328699.8999999999</v>
      </c>
      <c r="BG117" s="47">
        <f t="shared" si="66"/>
        <v>226343.25</v>
      </c>
      <c r="BH117" s="47">
        <f t="shared" ref="BH117" si="67">BH32</f>
        <v>331647.14999999997</v>
      </c>
      <c r="BI117" s="47">
        <f t="shared" si="66"/>
        <v>1015238</v>
      </c>
      <c r="BJ117" s="47">
        <f t="shared" si="66"/>
        <v>227241.85</v>
      </c>
      <c r="BK117" s="47">
        <f t="shared" si="66"/>
        <v>196567.35</v>
      </c>
      <c r="BL117" s="47">
        <f t="shared" si="66"/>
        <v>1962524.0999999999</v>
      </c>
      <c r="BM117" s="47">
        <f t="shared" ref="BM117:BZ117" si="68">BM32</f>
        <v>1030877.6</v>
      </c>
      <c r="BN117" s="47">
        <f t="shared" si="68"/>
        <v>696157.29999999993</v>
      </c>
      <c r="BO117" s="47">
        <f t="shared" si="68"/>
        <v>2151755.9500000002</v>
      </c>
      <c r="BP117" s="47">
        <f t="shared" si="68"/>
        <v>1892782.15</v>
      </c>
      <c r="BQ117" s="47">
        <f t="shared" si="68"/>
        <v>1534714.3</v>
      </c>
      <c r="BR117" s="47">
        <f t="shared" si="68"/>
        <v>9446468.9499999993</v>
      </c>
      <c r="BS117" s="47">
        <f t="shared" si="68"/>
        <v>1144598.05</v>
      </c>
      <c r="BT117" s="47">
        <f t="shared" si="68"/>
        <v>1584350.45</v>
      </c>
      <c r="BU117" s="47">
        <f t="shared" si="68"/>
        <v>115972.1</v>
      </c>
      <c r="BV117" s="47">
        <f t="shared" si="68"/>
        <v>172191.45</v>
      </c>
      <c r="BW117" s="47">
        <f t="shared" si="68"/>
        <v>4899878.75</v>
      </c>
      <c r="BX117" s="47">
        <f t="shared" si="68"/>
        <v>313648.5</v>
      </c>
      <c r="BY117" s="47">
        <f t="shared" si="68"/>
        <v>717240.35</v>
      </c>
      <c r="BZ117" s="47">
        <f t="shared" si="68"/>
        <v>821043.55</v>
      </c>
    </row>
    <row r="118" spans="1:80" x14ac:dyDescent="0.2">
      <c r="B118" s="30" t="s">
        <v>84</v>
      </c>
      <c r="C118" s="47">
        <f t="shared" ref="C118:AH118" si="69">C43</f>
        <v>96099527.300000027</v>
      </c>
      <c r="D118" s="47">
        <f t="shared" si="69"/>
        <v>14944757.201211354</v>
      </c>
      <c r="E118" s="47">
        <f t="shared" si="69"/>
        <v>1500709.473745469</v>
      </c>
      <c r="F118" s="47">
        <f t="shared" si="69"/>
        <v>235881.96803155175</v>
      </c>
      <c r="G118" s="47">
        <f t="shared" si="69"/>
        <v>194690.58892154251</v>
      </c>
      <c r="H118" s="47">
        <f t="shared" si="69"/>
        <v>891579.17730758525</v>
      </c>
      <c r="I118" s="47">
        <f t="shared" si="69"/>
        <v>1751411.4160284607</v>
      </c>
      <c r="J118" s="47">
        <f t="shared" si="69"/>
        <v>710835.64841674606</v>
      </c>
      <c r="K118" s="47">
        <f t="shared" si="69"/>
        <v>160214.85558183488</v>
      </c>
      <c r="L118" s="47">
        <f t="shared" si="69"/>
        <v>352647.21909654251</v>
      </c>
      <c r="M118" s="47">
        <f t="shared" si="69"/>
        <v>183652.36076350027</v>
      </c>
      <c r="N118" s="47">
        <f t="shared" si="69"/>
        <v>383166.91117146442</v>
      </c>
      <c r="O118" s="47">
        <f t="shared" si="69"/>
        <v>1333859.4747382875</v>
      </c>
      <c r="P118" s="47">
        <f t="shared" si="69"/>
        <v>1532786.3096990576</v>
      </c>
      <c r="Q118" s="47">
        <f t="shared" si="69"/>
        <v>1435205.4371389905</v>
      </c>
      <c r="R118" s="47">
        <f t="shared" si="69"/>
        <v>559613.58712615247</v>
      </c>
      <c r="S118" s="47">
        <f t="shared" si="69"/>
        <v>1057710.5755155592</v>
      </c>
      <c r="T118" s="47">
        <f t="shared" si="69"/>
        <v>1523278.8861018431</v>
      </c>
      <c r="U118" s="47">
        <f t="shared" si="69"/>
        <v>786573.39603577461</v>
      </c>
      <c r="V118" s="47">
        <f t="shared" si="69"/>
        <v>1094387.4369728412</v>
      </c>
      <c r="W118" s="47">
        <f t="shared" si="69"/>
        <v>1315228.5210876523</v>
      </c>
      <c r="X118" s="47">
        <f t="shared" si="69"/>
        <v>2111591.3175592804</v>
      </c>
      <c r="Y118" s="47">
        <f t="shared" si="69"/>
        <v>737024.85860995762</v>
      </c>
      <c r="Z118" s="47">
        <f t="shared" si="69"/>
        <v>361712.70829405217</v>
      </c>
      <c r="AA118" s="47">
        <f t="shared" si="69"/>
        <v>2110390.893655567</v>
      </c>
      <c r="AB118" s="47">
        <f t="shared" si="69"/>
        <v>252124.44668013608</v>
      </c>
      <c r="AC118" s="47">
        <f t="shared" si="69"/>
        <v>1661533.0765299283</v>
      </c>
      <c r="AD118" s="47">
        <f t="shared" si="69"/>
        <v>459765.95390848286</v>
      </c>
      <c r="AE118" s="47">
        <f t="shared" si="69"/>
        <v>1219231.0569291736</v>
      </c>
      <c r="AF118" s="47">
        <f t="shared" si="69"/>
        <v>574775.93798876833</v>
      </c>
      <c r="AG118" s="47">
        <f t="shared" si="69"/>
        <v>1172103.0959086143</v>
      </c>
      <c r="AH118" s="47">
        <f t="shared" si="69"/>
        <v>2391634.3722389759</v>
      </c>
      <c r="AI118" s="47">
        <f t="shared" ref="AI118:BL118" si="70">AI43</f>
        <v>873069.85169957089</v>
      </c>
      <c r="AJ118" s="47">
        <f t="shared" si="70"/>
        <v>850794.68419213558</v>
      </c>
      <c r="AK118" s="47">
        <f t="shared" si="70"/>
        <v>1058546.4604987223</v>
      </c>
      <c r="AL118" s="47">
        <f t="shared" si="70"/>
        <v>911249.48688401689</v>
      </c>
      <c r="AM118" s="47">
        <f t="shared" si="70"/>
        <v>1454328.3255916191</v>
      </c>
      <c r="AN118" s="47">
        <f t="shared" si="70"/>
        <v>364289.42196613277</v>
      </c>
      <c r="AO118" s="47">
        <f t="shared" si="70"/>
        <v>1630686.7147764869</v>
      </c>
      <c r="AP118" s="47">
        <f t="shared" si="70"/>
        <v>1016072.1960885542</v>
      </c>
      <c r="AQ118" s="47">
        <f t="shared" si="70"/>
        <v>1022731.7197802493</v>
      </c>
      <c r="AR118" s="47">
        <f t="shared" si="70"/>
        <v>812244.97074267885</v>
      </c>
      <c r="AS118" s="47">
        <f t="shared" si="70"/>
        <v>463242.49358793028</v>
      </c>
      <c r="AT118" s="47">
        <f t="shared" si="70"/>
        <v>359644.74389674509</v>
      </c>
      <c r="AU118" s="47">
        <f t="shared" si="70"/>
        <v>619305.93782724696</v>
      </c>
      <c r="AV118" s="47">
        <f t="shared" si="70"/>
        <v>488464.76371903683</v>
      </c>
      <c r="AW118" s="47">
        <f t="shared" si="70"/>
        <v>748009.27757837786</v>
      </c>
      <c r="AX118" s="47">
        <f t="shared" si="70"/>
        <v>1089302.8612268842</v>
      </c>
      <c r="AY118" s="47">
        <f t="shared" si="70"/>
        <v>1169965.8742945122</v>
      </c>
      <c r="AZ118" s="47">
        <f t="shared" si="70"/>
        <v>780818.59166508156</v>
      </c>
      <c r="BA118" s="47">
        <f t="shared" si="70"/>
        <v>6863355.1458305866</v>
      </c>
      <c r="BB118" s="47">
        <f t="shared" si="70"/>
        <v>1824506.1816785827</v>
      </c>
      <c r="BC118" s="47">
        <f t="shared" si="70"/>
        <v>720955.97608795634</v>
      </c>
      <c r="BD118" s="47">
        <f t="shared" si="70"/>
        <v>544398.47995621362</v>
      </c>
      <c r="BE118" s="47">
        <f t="shared" si="70"/>
        <v>785820.55930148589</v>
      </c>
      <c r="BF118" s="47">
        <f t="shared" si="70"/>
        <v>1308944.1802086006</v>
      </c>
      <c r="BG118" s="47">
        <f t="shared" si="70"/>
        <v>271014.92431054881</v>
      </c>
      <c r="BH118" s="47">
        <f t="shared" ref="BH118" si="71">BH43</f>
        <v>831771.3720212843</v>
      </c>
      <c r="BI118" s="47">
        <f t="shared" si="70"/>
        <v>753152.08116753935</v>
      </c>
      <c r="BJ118" s="47">
        <f t="shared" si="70"/>
        <v>231712.32111282329</v>
      </c>
      <c r="BK118" s="47">
        <f t="shared" si="70"/>
        <v>382017.95422576688</v>
      </c>
      <c r="BL118" s="47">
        <f t="shared" si="70"/>
        <v>1598564.9155706239</v>
      </c>
      <c r="BM118" s="47">
        <f t="shared" ref="BM118:BZ118" si="72">BM43</f>
        <v>796367.53731870116</v>
      </c>
      <c r="BN118" s="47">
        <f t="shared" si="72"/>
        <v>1012158.4513495642</v>
      </c>
      <c r="BO118" s="47">
        <f t="shared" si="72"/>
        <v>2170492.8098174934</v>
      </c>
      <c r="BP118" s="47">
        <f t="shared" si="72"/>
        <v>1468210.6218540275</v>
      </c>
      <c r="BQ118" s="47">
        <f t="shared" si="72"/>
        <v>559576.21843472298</v>
      </c>
      <c r="BR118" s="47">
        <f t="shared" si="72"/>
        <v>4539308.3360478291</v>
      </c>
      <c r="BS118" s="47">
        <f t="shared" si="72"/>
        <v>1004650.7101435157</v>
      </c>
      <c r="BT118" s="47">
        <f t="shared" si="72"/>
        <v>895141.79730679013</v>
      </c>
      <c r="BU118" s="47">
        <f t="shared" si="72"/>
        <v>257163.40327992768</v>
      </c>
      <c r="BV118" s="47">
        <f t="shared" si="72"/>
        <v>533393.88362045796</v>
      </c>
      <c r="BW118" s="47">
        <f t="shared" si="72"/>
        <v>3456427.6828698786</v>
      </c>
      <c r="BX118" s="47">
        <f t="shared" si="72"/>
        <v>352886.21762494626</v>
      </c>
      <c r="BY118" s="47">
        <f t="shared" si="72"/>
        <v>607075.45854858216</v>
      </c>
      <c r="BZ118" s="47">
        <f t="shared" si="72"/>
        <v>1617613.5413004465</v>
      </c>
    </row>
    <row r="119" spans="1:80" x14ac:dyDescent="0.2">
      <c r="B119" s="33" t="s">
        <v>85</v>
      </c>
      <c r="C119" s="47">
        <f t="shared" ref="C119:AH119" si="73">C48</f>
        <v>1565406.0599999996</v>
      </c>
      <c r="D119" s="47">
        <f t="shared" si="73"/>
        <v>327957</v>
      </c>
      <c r="E119" s="47">
        <f t="shared" si="73"/>
        <v>31901.88</v>
      </c>
      <c r="F119" s="47">
        <f t="shared" si="73"/>
        <v>3307.1</v>
      </c>
      <c r="G119" s="47">
        <f t="shared" si="73"/>
        <v>2928.3</v>
      </c>
      <c r="H119" s="47">
        <f t="shared" si="73"/>
        <v>10900.6</v>
      </c>
      <c r="I119" s="47">
        <f t="shared" si="73"/>
        <v>16200.84</v>
      </c>
      <c r="J119" s="47">
        <f t="shared" si="73"/>
        <v>11989.2</v>
      </c>
      <c r="K119" s="47">
        <f t="shared" si="73"/>
        <v>1989.75</v>
      </c>
      <c r="L119" s="47">
        <f t="shared" si="73"/>
        <v>0</v>
      </c>
      <c r="M119" s="47">
        <f t="shared" si="73"/>
        <v>2744.15</v>
      </c>
      <c r="N119" s="47">
        <f t="shared" si="73"/>
        <v>6128.85</v>
      </c>
      <c r="O119" s="47">
        <f t="shared" si="73"/>
        <v>16056</v>
      </c>
      <c r="P119" s="47">
        <f t="shared" si="73"/>
        <v>38541.4</v>
      </c>
      <c r="Q119" s="47">
        <f t="shared" si="73"/>
        <v>21571.1</v>
      </c>
      <c r="R119" s="47">
        <f t="shared" si="73"/>
        <v>11996.55</v>
      </c>
      <c r="S119" s="47">
        <f t="shared" si="73"/>
        <v>12685.72</v>
      </c>
      <c r="T119" s="47">
        <f t="shared" si="73"/>
        <v>29048.89</v>
      </c>
      <c r="U119" s="47">
        <f t="shared" si="73"/>
        <v>7515.2</v>
      </c>
      <c r="V119" s="47">
        <f t="shared" si="73"/>
        <v>9290.1</v>
      </c>
      <c r="W119" s="47">
        <f t="shared" si="73"/>
        <v>18349.599999999999</v>
      </c>
      <c r="X119" s="47">
        <f t="shared" si="73"/>
        <v>16614.939999999999</v>
      </c>
      <c r="Y119" s="47">
        <f t="shared" si="73"/>
        <v>7895.6</v>
      </c>
      <c r="Z119" s="47">
        <f t="shared" si="73"/>
        <v>3798.75</v>
      </c>
      <c r="AA119" s="47">
        <f t="shared" si="73"/>
        <v>42459.8</v>
      </c>
      <c r="AB119" s="47">
        <f t="shared" si="73"/>
        <v>2122.8000000000002</v>
      </c>
      <c r="AC119" s="47">
        <f t="shared" si="73"/>
        <v>25045.8</v>
      </c>
      <c r="AD119" s="47">
        <f t="shared" si="73"/>
        <v>4004.8</v>
      </c>
      <c r="AE119" s="47">
        <f t="shared" si="73"/>
        <v>26252.400000000001</v>
      </c>
      <c r="AF119" s="47">
        <f t="shared" si="73"/>
        <v>7764.6</v>
      </c>
      <c r="AG119" s="47">
        <f t="shared" si="73"/>
        <v>25399.35</v>
      </c>
      <c r="AH119" s="47">
        <f t="shared" si="73"/>
        <v>33752</v>
      </c>
      <c r="AI119" s="47">
        <f t="shared" ref="AI119:BL119" si="74">AI48</f>
        <v>6267</v>
      </c>
      <c r="AJ119" s="47">
        <f t="shared" si="74"/>
        <v>11550.1</v>
      </c>
      <c r="AK119" s="47">
        <f t="shared" si="74"/>
        <v>12348.55</v>
      </c>
      <c r="AL119" s="47">
        <f t="shared" si="74"/>
        <v>9725.2999999999993</v>
      </c>
      <c r="AM119" s="47">
        <f t="shared" si="74"/>
        <v>11665.5</v>
      </c>
      <c r="AN119" s="47">
        <f t="shared" si="74"/>
        <v>25858.45</v>
      </c>
      <c r="AO119" s="47">
        <f t="shared" si="74"/>
        <v>27546.75</v>
      </c>
      <c r="AP119" s="47">
        <f t="shared" si="74"/>
        <v>11703</v>
      </c>
      <c r="AQ119" s="47">
        <f t="shared" si="74"/>
        <v>11991.8</v>
      </c>
      <c r="AR119" s="47">
        <f t="shared" si="74"/>
        <v>184.2</v>
      </c>
      <c r="AS119" s="47">
        <f t="shared" si="74"/>
        <v>5677.95</v>
      </c>
      <c r="AT119" s="47">
        <f t="shared" si="74"/>
        <v>6040</v>
      </c>
      <c r="AU119" s="47">
        <f t="shared" si="74"/>
        <v>6854.84</v>
      </c>
      <c r="AV119" s="47">
        <f t="shared" si="74"/>
        <v>5593.6</v>
      </c>
      <c r="AW119" s="47">
        <f t="shared" si="74"/>
        <v>7191.9</v>
      </c>
      <c r="AX119" s="47">
        <f t="shared" si="74"/>
        <v>10881.45</v>
      </c>
      <c r="AY119" s="47">
        <f t="shared" si="74"/>
        <v>26707.5</v>
      </c>
      <c r="AZ119" s="47">
        <f t="shared" si="74"/>
        <v>13653.1</v>
      </c>
      <c r="BA119" s="47">
        <f t="shared" si="74"/>
        <v>102585.45</v>
      </c>
      <c r="BB119" s="47">
        <f t="shared" si="74"/>
        <v>22384.95</v>
      </c>
      <c r="BC119" s="47">
        <f t="shared" si="74"/>
        <v>7420.4000000000005</v>
      </c>
      <c r="BD119" s="47">
        <f t="shared" si="74"/>
        <v>19859.8</v>
      </c>
      <c r="BE119" s="47">
        <f t="shared" si="74"/>
        <v>12341.82</v>
      </c>
      <c r="BF119" s="47">
        <f t="shared" si="74"/>
        <v>33783.199999999997</v>
      </c>
      <c r="BG119" s="47">
        <f t="shared" si="74"/>
        <v>4306.3500000000004</v>
      </c>
      <c r="BH119" s="47">
        <f t="shared" ref="BH119" si="75">BH48</f>
        <v>22370</v>
      </c>
      <c r="BI119" s="47">
        <f t="shared" si="74"/>
        <v>16248.4</v>
      </c>
      <c r="BJ119" s="47">
        <f t="shared" si="74"/>
        <v>3204.8</v>
      </c>
      <c r="BK119" s="47">
        <f t="shared" si="74"/>
        <v>9907.24</v>
      </c>
      <c r="BL119" s="47">
        <f t="shared" si="74"/>
        <v>30406.75</v>
      </c>
      <c r="BM119" s="47">
        <f t="shared" ref="BM119:BZ119" si="76">BM48</f>
        <v>7014.71</v>
      </c>
      <c r="BN119" s="47">
        <f t="shared" si="76"/>
        <v>13719</v>
      </c>
      <c r="BO119" s="47">
        <f t="shared" si="76"/>
        <v>29558.5</v>
      </c>
      <c r="BP119" s="47">
        <f t="shared" si="76"/>
        <v>30483.15</v>
      </c>
      <c r="BQ119" s="47">
        <f t="shared" si="76"/>
        <v>12910.25</v>
      </c>
      <c r="BR119" s="47">
        <f t="shared" si="76"/>
        <v>101215.45</v>
      </c>
      <c r="BS119" s="47">
        <f t="shared" si="76"/>
        <v>8779.85</v>
      </c>
      <c r="BT119" s="47">
        <f t="shared" si="76"/>
        <v>9798.4500000000007</v>
      </c>
      <c r="BU119" s="47">
        <f t="shared" si="76"/>
        <v>1268.4000000000001</v>
      </c>
      <c r="BV119" s="47">
        <f t="shared" si="76"/>
        <v>7992.5</v>
      </c>
      <c r="BW119" s="47">
        <f t="shared" si="76"/>
        <v>31763.24</v>
      </c>
      <c r="BX119" s="47">
        <f t="shared" si="76"/>
        <v>5595.35</v>
      </c>
      <c r="BY119" s="47">
        <f t="shared" si="76"/>
        <v>12717.14</v>
      </c>
      <c r="BZ119" s="47">
        <f t="shared" si="76"/>
        <v>20116.849999999999</v>
      </c>
    </row>
    <row r="120" spans="1:80" x14ac:dyDescent="0.2">
      <c r="B120" s="33" t="s">
        <v>2</v>
      </c>
      <c r="C120" s="47">
        <f t="shared" ref="C120:AH120" si="77">C53</f>
        <v>64401961.040000014</v>
      </c>
      <c r="D120" s="47">
        <f t="shared" si="77"/>
        <v>9757685</v>
      </c>
      <c r="E120" s="47">
        <f t="shared" si="77"/>
        <v>786866</v>
      </c>
      <c r="F120" s="47">
        <f t="shared" si="77"/>
        <v>107067.5</v>
      </c>
      <c r="G120" s="47">
        <f t="shared" si="77"/>
        <v>70239</v>
      </c>
      <c r="H120" s="47">
        <f t="shared" si="77"/>
        <v>603822.6</v>
      </c>
      <c r="I120" s="47">
        <f t="shared" si="77"/>
        <v>1589486.53</v>
      </c>
      <c r="J120" s="47">
        <f t="shared" si="77"/>
        <v>363574.5</v>
      </c>
      <c r="K120" s="47">
        <f t="shared" si="77"/>
        <v>283035.88</v>
      </c>
      <c r="L120" s="47">
        <f t="shared" si="77"/>
        <v>480473.5</v>
      </c>
      <c r="M120" s="47">
        <f t="shared" si="77"/>
        <v>76943.33</v>
      </c>
      <c r="N120" s="47">
        <f t="shared" si="77"/>
        <v>252361.4</v>
      </c>
      <c r="O120" s="47">
        <f t="shared" si="77"/>
        <v>1399283</v>
      </c>
      <c r="P120" s="47">
        <f t="shared" si="77"/>
        <v>1213580.95</v>
      </c>
      <c r="Q120" s="47">
        <f t="shared" si="77"/>
        <v>1519580.1</v>
      </c>
      <c r="R120" s="47">
        <f t="shared" si="77"/>
        <v>426593.5</v>
      </c>
      <c r="S120" s="47">
        <f t="shared" si="77"/>
        <v>2496318.44</v>
      </c>
      <c r="T120" s="47">
        <f t="shared" si="77"/>
        <v>935876.87</v>
      </c>
      <c r="U120" s="47">
        <f t="shared" si="77"/>
        <v>431011.13</v>
      </c>
      <c r="V120" s="47">
        <f t="shared" si="77"/>
        <v>872968.05</v>
      </c>
      <c r="W120" s="47">
        <f t="shared" si="77"/>
        <v>1126628.55</v>
      </c>
      <c r="X120" s="47">
        <f t="shared" si="77"/>
        <v>948373.4</v>
      </c>
      <c r="Y120" s="47">
        <f t="shared" si="77"/>
        <v>754394.95</v>
      </c>
      <c r="Z120" s="47">
        <f t="shared" si="77"/>
        <v>186095.75</v>
      </c>
      <c r="AA120" s="47">
        <f t="shared" si="77"/>
        <v>978296.25</v>
      </c>
      <c r="AB120" s="47">
        <f t="shared" si="77"/>
        <v>176242.95</v>
      </c>
      <c r="AC120" s="47">
        <f t="shared" si="77"/>
        <v>612772.21</v>
      </c>
      <c r="AD120" s="47">
        <f t="shared" si="77"/>
        <v>210477.6</v>
      </c>
      <c r="AE120" s="47">
        <f t="shared" si="77"/>
        <v>682727.25</v>
      </c>
      <c r="AF120" s="47">
        <f t="shared" si="77"/>
        <v>523367.25</v>
      </c>
      <c r="AG120" s="47">
        <f t="shared" si="77"/>
        <v>908985.85</v>
      </c>
      <c r="AH120" s="47">
        <f t="shared" si="77"/>
        <v>1072016.6000000001</v>
      </c>
      <c r="AI120" s="47">
        <f t="shared" ref="AI120:BL120" si="78">AI53</f>
        <v>540529</v>
      </c>
      <c r="AJ120" s="47">
        <f t="shared" si="78"/>
        <v>403969.75</v>
      </c>
      <c r="AK120" s="47">
        <f t="shared" si="78"/>
        <v>273309.55</v>
      </c>
      <c r="AL120" s="47">
        <f t="shared" si="78"/>
        <v>616935.4</v>
      </c>
      <c r="AM120" s="47">
        <f t="shared" si="78"/>
        <v>817600.35</v>
      </c>
      <c r="AN120" s="47">
        <f t="shared" si="78"/>
        <v>117032.05</v>
      </c>
      <c r="AO120" s="47">
        <f t="shared" si="78"/>
        <v>1017207.55</v>
      </c>
      <c r="AP120" s="47">
        <f t="shared" si="78"/>
        <v>586120.1</v>
      </c>
      <c r="AQ120" s="47">
        <f t="shared" si="78"/>
        <v>427020.95</v>
      </c>
      <c r="AR120" s="47">
        <f t="shared" si="78"/>
        <v>525513.80000000005</v>
      </c>
      <c r="AS120" s="47">
        <f t="shared" si="78"/>
        <v>320094.95</v>
      </c>
      <c r="AT120" s="47">
        <f t="shared" si="78"/>
        <v>384148</v>
      </c>
      <c r="AU120" s="47">
        <f t="shared" si="78"/>
        <v>316905.34999999998</v>
      </c>
      <c r="AV120" s="47">
        <f t="shared" si="78"/>
        <v>263721.15000000002</v>
      </c>
      <c r="AW120" s="47">
        <f t="shared" si="78"/>
        <v>381704.25</v>
      </c>
      <c r="AX120" s="47">
        <f t="shared" si="78"/>
        <v>1005066.6</v>
      </c>
      <c r="AY120" s="47">
        <f t="shared" si="78"/>
        <v>735739.25</v>
      </c>
      <c r="AZ120" s="47">
        <f t="shared" si="78"/>
        <v>676402.95</v>
      </c>
      <c r="BA120" s="47">
        <f t="shared" si="78"/>
        <v>3299613.25</v>
      </c>
      <c r="BB120" s="47">
        <f t="shared" si="78"/>
        <v>1534940.85</v>
      </c>
      <c r="BC120" s="47">
        <f t="shared" si="78"/>
        <v>478772.8</v>
      </c>
      <c r="BD120" s="47">
        <f t="shared" si="78"/>
        <v>458207.4</v>
      </c>
      <c r="BE120" s="47">
        <f t="shared" si="78"/>
        <v>505987.45</v>
      </c>
      <c r="BF120" s="47">
        <f t="shared" si="78"/>
        <v>786684.55</v>
      </c>
      <c r="BG120" s="47">
        <f t="shared" si="78"/>
        <v>256596</v>
      </c>
      <c r="BH120" s="47">
        <f t="shared" ref="BH120" si="79">BH53</f>
        <v>760993.06</v>
      </c>
      <c r="BI120" s="47">
        <f t="shared" si="78"/>
        <v>759097.05</v>
      </c>
      <c r="BJ120" s="47">
        <f t="shared" si="78"/>
        <v>295190.21000000002</v>
      </c>
      <c r="BK120" s="47">
        <f t="shared" si="78"/>
        <v>158356.5</v>
      </c>
      <c r="BL120" s="47">
        <f t="shared" si="78"/>
        <v>1208003.6499999999</v>
      </c>
      <c r="BM120" s="47">
        <f t="shared" ref="BM120:BZ120" si="80">BM53</f>
        <v>406374.63</v>
      </c>
      <c r="BN120" s="47">
        <f t="shared" si="80"/>
        <v>944996.3</v>
      </c>
      <c r="BO120" s="47">
        <f t="shared" si="80"/>
        <v>1797239.25</v>
      </c>
      <c r="BP120" s="47">
        <f t="shared" si="80"/>
        <v>889151.85</v>
      </c>
      <c r="BQ120" s="47">
        <f t="shared" si="80"/>
        <v>343061.2</v>
      </c>
      <c r="BR120" s="47">
        <f t="shared" si="80"/>
        <v>2543488</v>
      </c>
      <c r="BS120" s="47">
        <f t="shared" si="80"/>
        <v>843476.95</v>
      </c>
      <c r="BT120" s="47">
        <f t="shared" si="80"/>
        <v>361093.25</v>
      </c>
      <c r="BU120" s="47">
        <f t="shared" si="80"/>
        <v>140355.29999999999</v>
      </c>
      <c r="BV120" s="47">
        <f t="shared" si="80"/>
        <v>313785.84999999998</v>
      </c>
      <c r="BW120" s="47">
        <f t="shared" si="80"/>
        <v>2170204.9500000002</v>
      </c>
      <c r="BX120" s="47">
        <f t="shared" si="80"/>
        <v>178326</v>
      </c>
      <c r="BY120" s="47">
        <f t="shared" si="80"/>
        <v>300883.3</v>
      </c>
      <c r="BZ120" s="47">
        <f t="shared" si="80"/>
        <v>1410914.55</v>
      </c>
    </row>
    <row r="121" spans="1:80" x14ac:dyDescent="0.2">
      <c r="B121" s="33" t="s">
        <v>3</v>
      </c>
      <c r="C121" s="47">
        <f t="shared" ref="C121:AH121" si="81">C58</f>
        <v>99162376.300000027</v>
      </c>
      <c r="D121" s="47">
        <f t="shared" si="81"/>
        <v>13596104.300000001</v>
      </c>
      <c r="E121" s="47">
        <f t="shared" si="81"/>
        <v>1881725.55</v>
      </c>
      <c r="F121" s="47">
        <f t="shared" si="81"/>
        <v>53156.800000000003</v>
      </c>
      <c r="G121" s="47">
        <f t="shared" si="81"/>
        <v>64573.25</v>
      </c>
      <c r="H121" s="47">
        <f t="shared" si="81"/>
        <v>1799437.35</v>
      </c>
      <c r="I121" s="47">
        <f t="shared" si="81"/>
        <v>2188627.5</v>
      </c>
      <c r="J121" s="47">
        <f t="shared" si="81"/>
        <v>490079.45</v>
      </c>
      <c r="K121" s="47">
        <f t="shared" si="81"/>
        <v>525105.69999999995</v>
      </c>
      <c r="L121" s="47">
        <f t="shared" si="81"/>
        <v>228336.6</v>
      </c>
      <c r="M121" s="47">
        <f t="shared" si="81"/>
        <v>154164.5</v>
      </c>
      <c r="N121" s="47">
        <f t="shared" si="81"/>
        <v>331341.09999999998</v>
      </c>
      <c r="O121" s="47">
        <f t="shared" si="81"/>
        <v>2521584.4</v>
      </c>
      <c r="P121" s="47">
        <f t="shared" si="81"/>
        <v>2743561.35</v>
      </c>
      <c r="Q121" s="47">
        <f t="shared" si="81"/>
        <v>1786285.6500000001</v>
      </c>
      <c r="R121" s="47">
        <f t="shared" si="81"/>
        <v>476445.5</v>
      </c>
      <c r="S121" s="47">
        <f t="shared" si="81"/>
        <v>2042756.25</v>
      </c>
      <c r="T121" s="47">
        <f t="shared" si="81"/>
        <v>2670683.1999999997</v>
      </c>
      <c r="U121" s="47">
        <f t="shared" si="81"/>
        <v>938662.1</v>
      </c>
      <c r="V121" s="47">
        <f t="shared" si="81"/>
        <v>630562.94999999995</v>
      </c>
      <c r="W121" s="47">
        <f t="shared" si="81"/>
        <v>1376879.65</v>
      </c>
      <c r="X121" s="47">
        <f t="shared" si="81"/>
        <v>1939193</v>
      </c>
      <c r="Y121" s="47">
        <f t="shared" si="81"/>
        <v>991707.45</v>
      </c>
      <c r="Z121" s="47">
        <f t="shared" si="81"/>
        <v>424390.94999999995</v>
      </c>
      <c r="AA121" s="47">
        <f t="shared" si="81"/>
        <v>3346582.1999999997</v>
      </c>
      <c r="AB121" s="47">
        <f t="shared" si="81"/>
        <v>446733.3</v>
      </c>
      <c r="AC121" s="47">
        <f t="shared" si="81"/>
        <v>1969343.3499999999</v>
      </c>
      <c r="AD121" s="47">
        <f t="shared" si="81"/>
        <v>323063.89999999997</v>
      </c>
      <c r="AE121" s="47">
        <f t="shared" si="81"/>
        <v>1154092.7</v>
      </c>
      <c r="AF121" s="47">
        <f t="shared" si="81"/>
        <v>863651.20000000007</v>
      </c>
      <c r="AG121" s="47">
        <f t="shared" si="81"/>
        <v>947062.05</v>
      </c>
      <c r="AH121" s="47">
        <f t="shared" si="81"/>
        <v>2381266.4500000002</v>
      </c>
      <c r="AI121" s="47">
        <f t="shared" ref="AI121:BL121" si="82">AI58</f>
        <v>1270723.6499999999</v>
      </c>
      <c r="AJ121" s="47">
        <f t="shared" si="82"/>
        <v>546994</v>
      </c>
      <c r="AK121" s="47">
        <f t="shared" si="82"/>
        <v>-11384.650000000001</v>
      </c>
      <c r="AL121" s="47">
        <f t="shared" si="82"/>
        <v>655358.94999999995</v>
      </c>
      <c r="AM121" s="47">
        <f t="shared" si="82"/>
        <v>1124005.75</v>
      </c>
      <c r="AN121" s="47">
        <f t="shared" si="82"/>
        <v>96443.9</v>
      </c>
      <c r="AO121" s="47">
        <f t="shared" si="82"/>
        <v>855513.59999999998</v>
      </c>
      <c r="AP121" s="47">
        <f t="shared" si="82"/>
        <v>1018163.05</v>
      </c>
      <c r="AQ121" s="47">
        <f t="shared" si="82"/>
        <v>698384.05</v>
      </c>
      <c r="AR121" s="47">
        <f t="shared" si="82"/>
        <v>840830.15</v>
      </c>
      <c r="AS121" s="47">
        <f t="shared" si="82"/>
        <v>591620.9</v>
      </c>
      <c r="AT121" s="47">
        <f t="shared" si="82"/>
        <v>283981.84999999998</v>
      </c>
      <c r="AU121" s="47">
        <f t="shared" si="82"/>
        <v>565098.85</v>
      </c>
      <c r="AV121" s="47">
        <f t="shared" si="82"/>
        <v>510141.7</v>
      </c>
      <c r="AW121" s="47">
        <f t="shared" si="82"/>
        <v>460602.35</v>
      </c>
      <c r="AX121" s="47">
        <f t="shared" si="82"/>
        <v>1957035</v>
      </c>
      <c r="AY121" s="47">
        <f t="shared" si="82"/>
        <v>925459</v>
      </c>
      <c r="AZ121" s="47">
        <f t="shared" si="82"/>
        <v>1016948.15</v>
      </c>
      <c r="BA121" s="47">
        <f t="shared" si="82"/>
        <v>6682842.0499999998</v>
      </c>
      <c r="BB121" s="47">
        <f t="shared" si="82"/>
        <v>1877402.55</v>
      </c>
      <c r="BC121" s="47">
        <f t="shared" si="82"/>
        <v>760393.4</v>
      </c>
      <c r="BD121" s="47">
        <f t="shared" si="82"/>
        <v>379997.45</v>
      </c>
      <c r="BE121" s="47">
        <f t="shared" si="82"/>
        <v>758197.4</v>
      </c>
      <c r="BF121" s="47">
        <f t="shared" si="82"/>
        <v>994714.55</v>
      </c>
      <c r="BG121" s="47">
        <f t="shared" si="82"/>
        <v>128825.15</v>
      </c>
      <c r="BH121" s="47">
        <f t="shared" ref="BH121" si="83">BH58</f>
        <v>1498975.75</v>
      </c>
      <c r="BI121" s="47">
        <f t="shared" si="82"/>
        <v>664539.55000000005</v>
      </c>
      <c r="BJ121" s="47">
        <f t="shared" si="82"/>
        <v>251829.2</v>
      </c>
      <c r="BK121" s="47">
        <f t="shared" si="82"/>
        <v>185190.1</v>
      </c>
      <c r="BL121" s="47">
        <f t="shared" si="82"/>
        <v>1945599.85</v>
      </c>
      <c r="BM121" s="47">
        <f t="shared" ref="BM121:BZ121" si="84">BM58</f>
        <v>696468.9</v>
      </c>
      <c r="BN121" s="47">
        <f t="shared" si="84"/>
        <v>766614.75</v>
      </c>
      <c r="BO121" s="47">
        <f t="shared" si="84"/>
        <v>2947415.5500000003</v>
      </c>
      <c r="BP121" s="47">
        <f t="shared" si="84"/>
        <v>665968.35000000009</v>
      </c>
      <c r="BQ121" s="47">
        <f t="shared" si="84"/>
        <v>405335.5</v>
      </c>
      <c r="BR121" s="47">
        <f t="shared" si="84"/>
        <v>4023513.5500000003</v>
      </c>
      <c r="BS121" s="47">
        <f t="shared" si="84"/>
        <v>865661.64999999991</v>
      </c>
      <c r="BT121" s="47">
        <f t="shared" si="84"/>
        <v>928497.25</v>
      </c>
      <c r="BU121" s="47">
        <f t="shared" si="84"/>
        <v>233324.7</v>
      </c>
      <c r="BV121" s="47">
        <f t="shared" si="84"/>
        <v>476320.94999999995</v>
      </c>
      <c r="BW121" s="47">
        <f t="shared" si="84"/>
        <v>3331027.8000000003</v>
      </c>
      <c r="BX121" s="47">
        <f t="shared" si="84"/>
        <v>480755.05</v>
      </c>
      <c r="BY121" s="47">
        <f t="shared" si="84"/>
        <v>447844.19999999995</v>
      </c>
      <c r="BZ121" s="47">
        <f t="shared" si="84"/>
        <v>2072041.15</v>
      </c>
    </row>
    <row r="122" spans="1:80" x14ac:dyDescent="0.2">
      <c r="B122" s="33" t="s">
        <v>79</v>
      </c>
      <c r="C122" s="47">
        <f>SUM(C115:C121)</f>
        <v>1772043399.3655171</v>
      </c>
      <c r="D122" s="47">
        <f t="shared" ref="D122:BM122" si="85">SUM(D115:D121)</f>
        <v>281370362.23246777</v>
      </c>
      <c r="E122" s="47">
        <f t="shared" si="85"/>
        <v>27327095.867495671</v>
      </c>
      <c r="F122" s="47">
        <f t="shared" si="85"/>
        <v>3862278.5031422894</v>
      </c>
      <c r="G122" s="47">
        <f t="shared" si="85"/>
        <v>3067707.8203186374</v>
      </c>
      <c r="H122" s="47">
        <f t="shared" si="85"/>
        <v>22773329.329091378</v>
      </c>
      <c r="I122" s="47">
        <f t="shared" si="85"/>
        <v>36177768.009080455</v>
      </c>
      <c r="J122" s="47">
        <f t="shared" si="85"/>
        <v>12880848.987080511</v>
      </c>
      <c r="K122" s="47">
        <f t="shared" si="85"/>
        <v>3319519.7035786128</v>
      </c>
      <c r="L122" s="47">
        <f t="shared" si="85"/>
        <v>6700385.21590997</v>
      </c>
      <c r="M122" s="47">
        <f t="shared" si="85"/>
        <v>3211369.7449371857</v>
      </c>
      <c r="N122" s="47">
        <f t="shared" si="85"/>
        <v>6877818.2839642316</v>
      </c>
      <c r="O122" s="47">
        <f t="shared" si="85"/>
        <v>27040357.380664602</v>
      </c>
      <c r="P122" s="47">
        <f t="shared" si="85"/>
        <v>27685835.720329542</v>
      </c>
      <c r="Q122" s="47">
        <f t="shared" si="85"/>
        <v>28017979.026714481</v>
      </c>
      <c r="R122" s="47">
        <f t="shared" si="85"/>
        <v>9435658.4856334347</v>
      </c>
      <c r="S122" s="47">
        <f t="shared" si="85"/>
        <v>20153746.929695006</v>
      </c>
      <c r="T122" s="47">
        <f t="shared" si="85"/>
        <v>30602509.507609304</v>
      </c>
      <c r="U122" s="47">
        <f t="shared" si="85"/>
        <v>15542142.209623598</v>
      </c>
      <c r="V122" s="47">
        <f t="shared" si="85"/>
        <v>28665165.075691</v>
      </c>
      <c r="W122" s="47">
        <f t="shared" si="85"/>
        <v>24234935.341765963</v>
      </c>
      <c r="X122" s="47">
        <f t="shared" si="85"/>
        <v>38111057.714402273</v>
      </c>
      <c r="Y122" s="47">
        <f t="shared" si="85"/>
        <v>16761206.581606684</v>
      </c>
      <c r="Z122" s="47">
        <f t="shared" si="85"/>
        <v>6077007.3717970224</v>
      </c>
      <c r="AA122" s="47">
        <f t="shared" si="85"/>
        <v>40228708.608609796</v>
      </c>
      <c r="AB122" s="47">
        <f t="shared" si="85"/>
        <v>4418881.7548103258</v>
      </c>
      <c r="AC122" s="47">
        <f t="shared" si="85"/>
        <v>27650810.201970052</v>
      </c>
      <c r="AD122" s="47">
        <f t="shared" si="85"/>
        <v>7188630.3279508688</v>
      </c>
      <c r="AE122" s="47">
        <f t="shared" si="85"/>
        <v>23282282.414661177</v>
      </c>
      <c r="AF122" s="47">
        <f t="shared" si="85"/>
        <v>10383243.375171145</v>
      </c>
      <c r="AG122" s="47">
        <f t="shared" si="85"/>
        <v>21779193.285195604</v>
      </c>
      <c r="AH122" s="47">
        <f t="shared" si="85"/>
        <v>39689907.804964818</v>
      </c>
      <c r="AI122" s="47">
        <f t="shared" si="85"/>
        <v>14806963.765379112</v>
      </c>
      <c r="AJ122" s="47">
        <f t="shared" si="85"/>
        <v>13079182.710624268</v>
      </c>
      <c r="AK122" s="47">
        <f t="shared" si="85"/>
        <v>17016244.324254096</v>
      </c>
      <c r="AL122" s="47">
        <f t="shared" si="85"/>
        <v>13529048.619860509</v>
      </c>
      <c r="AM122" s="47">
        <f t="shared" si="85"/>
        <v>23216533.187788326</v>
      </c>
      <c r="AN122" s="47">
        <f t="shared" si="85"/>
        <v>3762165.107221331</v>
      </c>
      <c r="AO122" s="47">
        <f t="shared" si="85"/>
        <v>24656824.871703759</v>
      </c>
      <c r="AP122" s="47">
        <f t="shared" si="85"/>
        <v>13852689.652352465</v>
      </c>
      <c r="AQ122" s="47">
        <f t="shared" si="85"/>
        <v>17168647.640014872</v>
      </c>
      <c r="AR122" s="47">
        <f t="shared" si="85"/>
        <v>9899165.0215796586</v>
      </c>
      <c r="AS122" s="47">
        <f t="shared" si="85"/>
        <v>7162485.3644358702</v>
      </c>
      <c r="AT122" s="47">
        <f t="shared" si="85"/>
        <v>6526110.3920020629</v>
      </c>
      <c r="AU122" s="47">
        <f t="shared" si="85"/>
        <v>9599030.7447787374</v>
      </c>
      <c r="AV122" s="47">
        <f t="shared" si="85"/>
        <v>8144858.943166282</v>
      </c>
      <c r="AW122" s="47">
        <f t="shared" si="85"/>
        <v>13609519.443923099</v>
      </c>
      <c r="AX122" s="47">
        <f t="shared" si="85"/>
        <v>19895241.441754587</v>
      </c>
      <c r="AY122" s="47">
        <f t="shared" si="85"/>
        <v>19465848.025492936</v>
      </c>
      <c r="AZ122" s="47">
        <f t="shared" si="85"/>
        <v>14328727.985937232</v>
      </c>
      <c r="BA122" s="47">
        <f t="shared" si="85"/>
        <v>156201270.63778704</v>
      </c>
      <c r="BB122" s="47">
        <f t="shared" si="85"/>
        <v>32373126.334641833</v>
      </c>
      <c r="BC122" s="47">
        <f t="shared" si="85"/>
        <v>8784182.2533151768</v>
      </c>
      <c r="BD122" s="47">
        <f t="shared" si="85"/>
        <v>8977812.2252831869</v>
      </c>
      <c r="BE122" s="47">
        <f t="shared" si="85"/>
        <v>13031973.986255186</v>
      </c>
      <c r="BF122" s="47">
        <f t="shared" si="85"/>
        <v>21970393.895050615</v>
      </c>
      <c r="BG122" s="47">
        <f t="shared" si="85"/>
        <v>5062313.2379060835</v>
      </c>
      <c r="BH122" s="47">
        <f t="shared" ref="BH122" si="86">SUM(BH115:BH121)</f>
        <v>14415014.643287569</v>
      </c>
      <c r="BI122" s="47">
        <f t="shared" si="85"/>
        <v>13765203.054677024</v>
      </c>
      <c r="BJ122" s="47">
        <f t="shared" si="85"/>
        <v>4133843.4980026963</v>
      </c>
      <c r="BK122" s="47">
        <f t="shared" si="85"/>
        <v>6281029.1346390797</v>
      </c>
      <c r="BL122" s="47">
        <f t="shared" si="85"/>
        <v>27468854.73163091</v>
      </c>
      <c r="BM122" s="47">
        <f t="shared" si="85"/>
        <v>12299686.333198028</v>
      </c>
      <c r="BN122" s="47">
        <f t="shared" ref="BN122:BZ122" si="87">SUM(BN115:BN121)</f>
        <v>19526123.38278795</v>
      </c>
      <c r="BO122" s="47">
        <f t="shared" si="87"/>
        <v>37830157.081114955</v>
      </c>
      <c r="BP122" s="47">
        <f t="shared" si="87"/>
        <v>26821508.353343703</v>
      </c>
      <c r="BQ122" s="47">
        <f t="shared" si="87"/>
        <v>10464740.04240074</v>
      </c>
      <c r="BR122" s="47">
        <f t="shared" si="87"/>
        <v>88294973.076491728</v>
      </c>
      <c r="BS122" s="47">
        <f t="shared" si="87"/>
        <v>21542044.273957323</v>
      </c>
      <c r="BT122" s="47">
        <f t="shared" si="87"/>
        <v>14303465.132094495</v>
      </c>
      <c r="BU122" s="47">
        <f t="shared" si="87"/>
        <v>4285334.2815387174</v>
      </c>
      <c r="BV122" s="47">
        <f t="shared" si="87"/>
        <v>9152682.5515171997</v>
      </c>
      <c r="BW122" s="47">
        <f t="shared" si="87"/>
        <v>60728468.781554416</v>
      </c>
      <c r="BX122" s="47">
        <f t="shared" si="87"/>
        <v>6888152.6117793135</v>
      </c>
      <c r="BY122" s="47">
        <f t="shared" si="87"/>
        <v>10234288.662776075</v>
      </c>
      <c r="BZ122" s="47">
        <f t="shared" si="87"/>
        <v>32969727.110284079</v>
      </c>
    </row>
    <row r="123" spans="1:80" x14ac:dyDescent="0.2">
      <c r="B123" s="33"/>
      <c r="C123" s="33"/>
    </row>
    <row r="124" spans="1:80" x14ac:dyDescent="0.2">
      <c r="B124" s="30" t="s">
        <v>80</v>
      </c>
      <c r="C124" s="194">
        <f>SUM(D124:BZ124)</f>
        <v>519245</v>
      </c>
      <c r="D124" s="49">
        <v>76328</v>
      </c>
      <c r="E124" s="49">
        <v>9847</v>
      </c>
      <c r="F124" s="49">
        <v>1376</v>
      </c>
      <c r="G124" s="49">
        <v>1242</v>
      </c>
      <c r="H124" s="49">
        <v>3638</v>
      </c>
      <c r="I124" s="49">
        <v>9521</v>
      </c>
      <c r="J124" s="49">
        <v>3559</v>
      </c>
      <c r="K124" s="49">
        <v>905</v>
      </c>
      <c r="L124" s="49">
        <v>1585</v>
      </c>
      <c r="M124" s="49">
        <v>1032</v>
      </c>
      <c r="N124" s="49">
        <v>2341</v>
      </c>
      <c r="O124" s="49">
        <v>7592</v>
      </c>
      <c r="P124" s="49">
        <v>9545</v>
      </c>
      <c r="Q124" s="49">
        <v>6769</v>
      </c>
      <c r="R124" s="49">
        <v>3461</v>
      </c>
      <c r="S124" s="49">
        <v>6087</v>
      </c>
      <c r="T124" s="49">
        <v>8044</v>
      </c>
      <c r="U124" s="49">
        <v>3971</v>
      </c>
      <c r="V124" s="49">
        <v>4995</v>
      </c>
      <c r="W124" s="49">
        <v>6731</v>
      </c>
      <c r="X124" s="49">
        <v>10095</v>
      </c>
      <c r="Y124" s="49">
        <v>4822</v>
      </c>
      <c r="Z124" s="49">
        <v>2106</v>
      </c>
      <c r="AA124" s="49">
        <v>12046</v>
      </c>
      <c r="AB124" s="49">
        <v>1537</v>
      </c>
      <c r="AC124" s="49">
        <v>9057</v>
      </c>
      <c r="AD124" s="49">
        <v>2447</v>
      </c>
      <c r="AE124" s="49">
        <v>5925</v>
      </c>
      <c r="AF124" s="49">
        <v>3612</v>
      </c>
      <c r="AG124" s="49">
        <v>7238</v>
      </c>
      <c r="AH124" s="49">
        <v>13286</v>
      </c>
      <c r="AI124" s="49">
        <v>5210</v>
      </c>
      <c r="AJ124" s="49">
        <v>5297</v>
      </c>
      <c r="AK124" s="49">
        <v>6224</v>
      </c>
      <c r="AL124" s="49">
        <v>4954</v>
      </c>
      <c r="AM124" s="49">
        <v>6538</v>
      </c>
      <c r="AN124" s="49">
        <v>1544</v>
      </c>
      <c r="AO124" s="49">
        <v>8991</v>
      </c>
      <c r="AP124" s="49">
        <v>5074</v>
      </c>
      <c r="AQ124" s="49">
        <v>5801</v>
      </c>
      <c r="AR124" s="49">
        <v>3000</v>
      </c>
      <c r="AS124" s="49">
        <v>1865</v>
      </c>
      <c r="AT124" s="49">
        <v>1802</v>
      </c>
      <c r="AU124" s="49">
        <v>3951</v>
      </c>
      <c r="AV124" s="49">
        <v>3025</v>
      </c>
      <c r="AW124" s="49">
        <v>5029</v>
      </c>
      <c r="AX124" s="49">
        <v>5443</v>
      </c>
      <c r="AY124" s="49">
        <v>6564</v>
      </c>
      <c r="AZ124" s="49">
        <v>4043</v>
      </c>
      <c r="BA124" s="49">
        <v>27828</v>
      </c>
      <c r="BB124" s="49">
        <v>9836</v>
      </c>
      <c r="BC124" s="49">
        <v>2607</v>
      </c>
      <c r="BD124" s="49">
        <v>3656</v>
      </c>
      <c r="BE124" s="49">
        <v>5051</v>
      </c>
      <c r="BF124" s="49">
        <v>8877</v>
      </c>
      <c r="BG124" s="49">
        <v>1960</v>
      </c>
      <c r="BH124" s="49">
        <v>6257</v>
      </c>
      <c r="BI124" s="49">
        <v>5080</v>
      </c>
      <c r="BJ124" s="49">
        <v>1613</v>
      </c>
      <c r="BK124" s="49">
        <v>2896</v>
      </c>
      <c r="BL124" s="49">
        <v>9414</v>
      </c>
      <c r="BM124" s="49">
        <v>3920</v>
      </c>
      <c r="BN124" s="49">
        <v>6574</v>
      </c>
      <c r="BO124" s="49">
        <v>13493</v>
      </c>
      <c r="BP124" s="49">
        <v>10444</v>
      </c>
      <c r="BQ124" s="49">
        <v>4113</v>
      </c>
      <c r="BR124" s="49">
        <v>24306</v>
      </c>
      <c r="BS124" s="49">
        <v>4848</v>
      </c>
      <c r="BT124" s="49">
        <v>4538</v>
      </c>
      <c r="BU124" s="49">
        <v>1517</v>
      </c>
      <c r="BV124" s="49">
        <v>3182</v>
      </c>
      <c r="BW124" s="49">
        <v>18017</v>
      </c>
      <c r="BX124" s="49">
        <v>2087</v>
      </c>
      <c r="BY124" s="49">
        <v>3569</v>
      </c>
      <c r="BZ124" s="49">
        <v>8467</v>
      </c>
      <c r="CB124" s="3" t="s">
        <v>110</v>
      </c>
    </row>
    <row r="125" spans="1:80" x14ac:dyDescent="0.2">
      <c r="B125" s="33"/>
      <c r="C125" s="33"/>
    </row>
    <row r="126" spans="1:80" s="32" customFormat="1" x14ac:dyDescent="0.2">
      <c r="A126" s="21"/>
      <c r="B126" s="21" t="s">
        <v>104</v>
      </c>
      <c r="C126" s="152">
        <f>C122/C124</f>
        <v>3412.7307906008091</v>
      </c>
      <c r="D126" s="50">
        <f t="shared" ref="D126:BM126" si="88">D122/D124</f>
        <v>3686.3321747257596</v>
      </c>
      <c r="E126" s="50">
        <f t="shared" si="88"/>
        <v>2775.1696828979052</v>
      </c>
      <c r="F126" s="50">
        <f t="shared" si="88"/>
        <v>2806.8884470510825</v>
      </c>
      <c r="G126" s="50">
        <f t="shared" si="88"/>
        <v>2469.9740904336854</v>
      </c>
      <c r="H126" s="50">
        <f t="shared" si="88"/>
        <v>6259.8486336150017</v>
      </c>
      <c r="I126" s="50">
        <f t="shared" si="88"/>
        <v>3799.7865779939561</v>
      </c>
      <c r="J126" s="50">
        <f t="shared" si="88"/>
        <v>3619.2326459905903</v>
      </c>
      <c r="K126" s="50">
        <f t="shared" si="88"/>
        <v>3667.9775730150418</v>
      </c>
      <c r="L126" s="50">
        <f t="shared" si="88"/>
        <v>4227.3723759684353</v>
      </c>
      <c r="M126" s="50">
        <f t="shared" si="88"/>
        <v>3111.792388505025</v>
      </c>
      <c r="N126" s="50">
        <f t="shared" si="88"/>
        <v>2937.9830345853188</v>
      </c>
      <c r="O126" s="50">
        <f t="shared" si="88"/>
        <v>3561.6909089389624</v>
      </c>
      <c r="P126" s="50">
        <f t="shared" si="88"/>
        <v>2900.559006844373</v>
      </c>
      <c r="Q126" s="50">
        <f t="shared" si="88"/>
        <v>4139.1607366988446</v>
      </c>
      <c r="R126" s="50">
        <f t="shared" si="88"/>
        <v>2726.2809840027262</v>
      </c>
      <c r="S126" s="50">
        <f t="shared" si="88"/>
        <v>3310.9490602423207</v>
      </c>
      <c r="T126" s="50">
        <f t="shared" si="88"/>
        <v>3804.3895459484465</v>
      </c>
      <c r="U126" s="50">
        <f t="shared" si="88"/>
        <v>3913.9114101293371</v>
      </c>
      <c r="V126" s="50">
        <f t="shared" si="88"/>
        <v>5738.7717869251246</v>
      </c>
      <c r="W126" s="50">
        <f t="shared" si="88"/>
        <v>3600.4955195017028</v>
      </c>
      <c r="X126" s="50">
        <f t="shared" si="88"/>
        <v>3775.2409821101805</v>
      </c>
      <c r="Y126" s="50">
        <f t="shared" si="88"/>
        <v>3475.9864333485452</v>
      </c>
      <c r="Z126" s="50">
        <f t="shared" si="88"/>
        <v>2885.568552610172</v>
      </c>
      <c r="AA126" s="50">
        <f t="shared" si="88"/>
        <v>3339.5906200074542</v>
      </c>
      <c r="AB126" s="50">
        <f t="shared" si="88"/>
        <v>2875.0043948017733</v>
      </c>
      <c r="AC126" s="50">
        <f t="shared" si="88"/>
        <v>3052.9767254024569</v>
      </c>
      <c r="AD126" s="50">
        <f t="shared" si="88"/>
        <v>2937.7320506542169</v>
      </c>
      <c r="AE126" s="50">
        <f t="shared" si="88"/>
        <v>3929.4991417149663</v>
      </c>
      <c r="AF126" s="50">
        <f t="shared" si="88"/>
        <v>2874.6520972234621</v>
      </c>
      <c r="AG126" s="50">
        <f t="shared" si="88"/>
        <v>3009.0070855478866</v>
      </c>
      <c r="AH126" s="50">
        <f t="shared" si="88"/>
        <v>2987.3481713807632</v>
      </c>
      <c r="AI126" s="50">
        <f t="shared" si="88"/>
        <v>2842.0275941226705</v>
      </c>
      <c r="AJ126" s="50">
        <f t="shared" si="88"/>
        <v>2469.1679650036376</v>
      </c>
      <c r="AK126" s="50">
        <f t="shared" si="88"/>
        <v>2733.9724171359408</v>
      </c>
      <c r="AL126" s="50">
        <f t="shared" si="88"/>
        <v>2730.9343197134658</v>
      </c>
      <c r="AM126" s="50">
        <f t="shared" si="88"/>
        <v>3551.0145591600376</v>
      </c>
      <c r="AN126" s="50">
        <f t="shared" si="88"/>
        <v>2436.6354321381677</v>
      </c>
      <c r="AO126" s="50">
        <f t="shared" si="88"/>
        <v>2742.3895975646487</v>
      </c>
      <c r="AP126" s="50">
        <f t="shared" si="88"/>
        <v>2730.1319772078173</v>
      </c>
      <c r="AQ126" s="50">
        <f t="shared" si="88"/>
        <v>2959.6013859705004</v>
      </c>
      <c r="AR126" s="50">
        <f t="shared" si="88"/>
        <v>3299.7216738598863</v>
      </c>
      <c r="AS126" s="50">
        <f t="shared" si="88"/>
        <v>3840.4747262390724</v>
      </c>
      <c r="AT126" s="50">
        <f t="shared" si="88"/>
        <v>3621.5928923429869</v>
      </c>
      <c r="AU126" s="50">
        <f t="shared" si="88"/>
        <v>2429.5192975901637</v>
      </c>
      <c r="AV126" s="50">
        <f t="shared" si="88"/>
        <v>2692.5153531128203</v>
      </c>
      <c r="AW126" s="50">
        <f t="shared" si="88"/>
        <v>2706.2078830628552</v>
      </c>
      <c r="AX126" s="50">
        <f t="shared" si="88"/>
        <v>3655.1977662602585</v>
      </c>
      <c r="AY126" s="50">
        <f t="shared" si="88"/>
        <v>2965.546621799655</v>
      </c>
      <c r="AZ126" s="50">
        <f t="shared" si="88"/>
        <v>3544.0831031257067</v>
      </c>
      <c r="BA126" s="50">
        <f t="shared" si="88"/>
        <v>5613.0972631086333</v>
      </c>
      <c r="BB126" s="50">
        <f t="shared" si="88"/>
        <v>3291.2897859538261</v>
      </c>
      <c r="BC126" s="50">
        <f t="shared" si="88"/>
        <v>3369.4600127791241</v>
      </c>
      <c r="BD126" s="50">
        <f t="shared" si="88"/>
        <v>2455.6379171999965</v>
      </c>
      <c r="BE126" s="50">
        <f t="shared" si="88"/>
        <v>2580.0780016343665</v>
      </c>
      <c r="BF126" s="50">
        <f t="shared" si="88"/>
        <v>2474.9795984060625</v>
      </c>
      <c r="BG126" s="50">
        <f t="shared" si="88"/>
        <v>2582.8128764826956</v>
      </c>
      <c r="BH126" s="50">
        <f t="shared" si="88"/>
        <v>2303.822062216329</v>
      </c>
      <c r="BI126" s="50">
        <f t="shared" si="88"/>
        <v>2709.6856406844536</v>
      </c>
      <c r="BJ126" s="50">
        <f t="shared" si="88"/>
        <v>2562.8291990097309</v>
      </c>
      <c r="BK126" s="50">
        <f t="shared" si="88"/>
        <v>2168.8636514637706</v>
      </c>
      <c r="BL126" s="50">
        <f t="shared" si="88"/>
        <v>2917.8728204409294</v>
      </c>
      <c r="BM126" s="50">
        <f t="shared" si="88"/>
        <v>3137.6750849994969</v>
      </c>
      <c r="BN126" s="50">
        <f t="shared" ref="BN126:BZ126" si="89">BN122/BN124</f>
        <v>2970.2043478533542</v>
      </c>
      <c r="BO126" s="50">
        <f t="shared" si="89"/>
        <v>2803.687621812418</v>
      </c>
      <c r="BP126" s="50">
        <f t="shared" si="89"/>
        <v>2568.1260391941501</v>
      </c>
      <c r="BQ126" s="50">
        <f t="shared" si="89"/>
        <v>2544.3083010942719</v>
      </c>
      <c r="BR126" s="50">
        <f t="shared" si="89"/>
        <v>3632.6410382823883</v>
      </c>
      <c r="BS126" s="50">
        <f t="shared" si="89"/>
        <v>4443.4909806017577</v>
      </c>
      <c r="BT126" s="50">
        <f t="shared" si="89"/>
        <v>3151.9314967154023</v>
      </c>
      <c r="BU126" s="50">
        <f t="shared" si="89"/>
        <v>2824.8742791949358</v>
      </c>
      <c r="BV126" s="50">
        <f t="shared" si="89"/>
        <v>2876.3930080192331</v>
      </c>
      <c r="BW126" s="50">
        <f t="shared" si="89"/>
        <v>3370.620457432115</v>
      </c>
      <c r="BX126" s="50">
        <f t="shared" si="89"/>
        <v>3300.5043659699631</v>
      </c>
      <c r="BY126" s="50">
        <f t="shared" si="89"/>
        <v>2867.5507600941651</v>
      </c>
      <c r="BZ126" s="50">
        <f t="shared" si="89"/>
        <v>3893.9089536180559</v>
      </c>
      <c r="CA126" s="21"/>
      <c r="CB126" s="21"/>
    </row>
    <row r="127" spans="1:80" x14ac:dyDescent="0.2">
      <c r="B127" s="30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80" x14ac:dyDescent="0.2">
      <c r="A128" s="35" t="s">
        <v>158</v>
      </c>
      <c r="B128" s="27" t="s">
        <v>240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35"/>
      <c r="CB128" s="35"/>
    </row>
    <row r="129" spans="1:80" x14ac:dyDescent="0.2">
      <c r="B129" s="30" t="s">
        <v>4</v>
      </c>
      <c r="C129" s="5">
        <f t="shared" ref="C129:AH129" si="90">C72</f>
        <v>1317330148.8978171</v>
      </c>
      <c r="D129" s="5">
        <f t="shared" si="90"/>
        <v>198042247.36994004</v>
      </c>
      <c r="E129" s="5">
        <f t="shared" si="90"/>
        <v>21258729.89986416</v>
      </c>
      <c r="F129" s="5">
        <f t="shared" si="90"/>
        <v>3332774.7630009796</v>
      </c>
      <c r="G129" s="5">
        <f t="shared" si="90"/>
        <v>2722269.5244121216</v>
      </c>
      <c r="H129" s="5">
        <f t="shared" si="90"/>
        <v>18198872.429515708</v>
      </c>
      <c r="I129" s="5">
        <f t="shared" si="90"/>
        <v>25516989.189735189</v>
      </c>
      <c r="J129" s="5">
        <f t="shared" si="90"/>
        <v>8904539.6593908928</v>
      </c>
      <c r="K129" s="5">
        <f t="shared" si="90"/>
        <v>3066579.6583954329</v>
      </c>
      <c r="L129" s="5">
        <f t="shared" si="90"/>
        <v>5367891.4782790653</v>
      </c>
      <c r="M129" s="5">
        <f t="shared" si="90"/>
        <v>2793562.9987257598</v>
      </c>
      <c r="N129" s="5">
        <f t="shared" si="90"/>
        <v>5842668.5148177519</v>
      </c>
      <c r="O129" s="5">
        <f t="shared" si="90"/>
        <v>21306515.554430742</v>
      </c>
      <c r="P129" s="5">
        <f t="shared" si="90"/>
        <v>17350373.15897046</v>
      </c>
      <c r="Q129" s="5">
        <f t="shared" si="90"/>
        <v>20157002.320464939</v>
      </c>
      <c r="R129" s="5">
        <f t="shared" si="90"/>
        <v>9050444.0915872119</v>
      </c>
      <c r="S129" s="5">
        <f t="shared" si="90"/>
        <v>10584833.128824946</v>
      </c>
      <c r="T129" s="5">
        <f t="shared" si="90"/>
        <v>20359266.28177999</v>
      </c>
      <c r="U129" s="5">
        <f t="shared" si="90"/>
        <v>13296709.851521514</v>
      </c>
      <c r="V129" s="5">
        <f t="shared" si="90"/>
        <v>19620983.507272843</v>
      </c>
      <c r="W129" s="5">
        <f t="shared" si="90"/>
        <v>16642480.712852176</v>
      </c>
      <c r="X129" s="5">
        <f t="shared" si="90"/>
        <v>25118639.267400846</v>
      </c>
      <c r="Y129" s="5">
        <f t="shared" si="90"/>
        <v>10572879.071273506</v>
      </c>
      <c r="Z129" s="5">
        <f t="shared" si="90"/>
        <v>5249065.805941551</v>
      </c>
      <c r="AA129" s="5">
        <f t="shared" si="90"/>
        <v>29196159.964428436</v>
      </c>
      <c r="AB129" s="5">
        <f t="shared" si="90"/>
        <v>3348267.229971386</v>
      </c>
      <c r="AC129" s="5">
        <f t="shared" si="90"/>
        <v>20371476.730033178</v>
      </c>
      <c r="AD129" s="5">
        <f t="shared" si="90"/>
        <v>4638689.9758364931</v>
      </c>
      <c r="AE129" s="5">
        <f t="shared" si="90"/>
        <v>13557012.469789743</v>
      </c>
      <c r="AF129" s="5">
        <f t="shared" si="90"/>
        <v>8037244.6253826991</v>
      </c>
      <c r="AG129" s="5">
        <f t="shared" si="90"/>
        <v>16824458.430092096</v>
      </c>
      <c r="AH129" s="5">
        <f t="shared" si="90"/>
        <v>30674699.034682397</v>
      </c>
      <c r="AI129" s="5">
        <f t="shared" ref="AI129:BL129" si="91">AI72</f>
        <v>10609162.139666583</v>
      </c>
      <c r="AJ129" s="5">
        <f t="shared" si="91"/>
        <v>10294114.071058515</v>
      </c>
      <c r="AK129" s="5">
        <f t="shared" si="91"/>
        <v>14295526.834518546</v>
      </c>
      <c r="AL129" s="5">
        <f t="shared" si="91"/>
        <v>10267033.523944667</v>
      </c>
      <c r="AM129" s="5">
        <f t="shared" si="91"/>
        <v>17560892.873459537</v>
      </c>
      <c r="AN129" s="5">
        <f t="shared" si="91"/>
        <v>2857580.2455941769</v>
      </c>
      <c r="AO129" s="5">
        <f t="shared" si="91"/>
        <v>18815941.586686321</v>
      </c>
      <c r="AP129" s="5">
        <f t="shared" si="91"/>
        <v>9749735.8032456432</v>
      </c>
      <c r="AQ129" s="5">
        <f t="shared" si="91"/>
        <v>13730977.217925074</v>
      </c>
      <c r="AR129" s="5">
        <f t="shared" si="91"/>
        <v>7117414.4970966056</v>
      </c>
      <c r="AS129" s="5">
        <f t="shared" si="91"/>
        <v>5843746.5648405021</v>
      </c>
      <c r="AT129" s="5">
        <f t="shared" si="91"/>
        <v>5297448.8626843598</v>
      </c>
      <c r="AU129" s="5">
        <f t="shared" si="91"/>
        <v>7692587.3267025556</v>
      </c>
      <c r="AV129" s="5">
        <f t="shared" si="91"/>
        <v>6178370.308840231</v>
      </c>
      <c r="AW129" s="5">
        <f t="shared" si="91"/>
        <v>10968474.523394343</v>
      </c>
      <c r="AX129" s="5">
        <f t="shared" si="91"/>
        <v>14909130.099384559</v>
      </c>
      <c r="AY129" s="5">
        <f t="shared" si="91"/>
        <v>14364954.659608461</v>
      </c>
      <c r="AZ129" s="5">
        <f t="shared" si="91"/>
        <v>10441223.138934119</v>
      </c>
      <c r="BA129" s="5">
        <f t="shared" si="91"/>
        <v>115391280.64820933</v>
      </c>
      <c r="BB129" s="5">
        <f t="shared" si="91"/>
        <v>23468057.107835434</v>
      </c>
      <c r="BC129" s="5">
        <f t="shared" si="91"/>
        <v>6041586.2300084596</v>
      </c>
      <c r="BD129" s="5">
        <f t="shared" si="91"/>
        <v>7289656.2939703008</v>
      </c>
      <c r="BE129" s="5">
        <f t="shared" si="91"/>
        <v>9568530.501440132</v>
      </c>
      <c r="BF129" s="5">
        <f t="shared" si="91"/>
        <v>17527112.262298644</v>
      </c>
      <c r="BG129" s="5">
        <f t="shared" si="91"/>
        <v>4039373.8767149257</v>
      </c>
      <c r="BH129" s="5">
        <f t="shared" ref="BH129" si="92">BH72</f>
        <v>10631163.716004794</v>
      </c>
      <c r="BI129" s="5">
        <f t="shared" si="91"/>
        <v>10389491.448411718</v>
      </c>
      <c r="BJ129" s="5">
        <f t="shared" si="91"/>
        <v>3220239.9339691121</v>
      </c>
      <c r="BK129" s="5">
        <f t="shared" si="91"/>
        <v>5367497.9692135165</v>
      </c>
      <c r="BL129" s="5">
        <f t="shared" si="91"/>
        <v>19688604.870287415</v>
      </c>
      <c r="BM129" s="5">
        <f t="shared" ref="BM129:BZ129" si="93">BM72</f>
        <v>9000095.6309871003</v>
      </c>
      <c r="BN129" s="5">
        <f t="shared" si="93"/>
        <v>15641393.737338284</v>
      </c>
      <c r="BO129" s="5">
        <f t="shared" si="93"/>
        <v>29616863.204694647</v>
      </c>
      <c r="BP129" s="5">
        <f t="shared" si="93"/>
        <v>22886906.325145118</v>
      </c>
      <c r="BQ129" s="5">
        <f t="shared" si="93"/>
        <v>7232456.2252539797</v>
      </c>
      <c r="BR129" s="5">
        <f t="shared" si="93"/>
        <v>67759204.730273664</v>
      </c>
      <c r="BS129" s="5">
        <f t="shared" si="93"/>
        <v>17121859.432697289</v>
      </c>
      <c r="BT129" s="5">
        <f t="shared" si="93"/>
        <v>13073981.755110813</v>
      </c>
      <c r="BU129" s="5">
        <f t="shared" si="93"/>
        <v>3662232.5112999352</v>
      </c>
      <c r="BV129" s="5">
        <f t="shared" si="93"/>
        <v>7566612.1506980341</v>
      </c>
      <c r="BW129" s="5">
        <f t="shared" si="93"/>
        <v>47484916.498405665</v>
      </c>
      <c r="BX129" s="5">
        <f t="shared" si="93"/>
        <v>5527907.7642582115</v>
      </c>
      <c r="BY129" s="5">
        <f t="shared" si="93"/>
        <v>8272265.1877085594</v>
      </c>
      <c r="BZ129" s="5">
        <f t="shared" si="93"/>
        <v>27862217.909383126</v>
      </c>
    </row>
    <row r="130" spans="1:80" x14ac:dyDescent="0.2">
      <c r="B130" s="30" t="s">
        <v>0</v>
      </c>
      <c r="C130" s="5">
        <f t="shared" ref="C130:AH130" si="94">C77</f>
        <v>67026992.969999984</v>
      </c>
      <c r="D130" s="5">
        <f t="shared" si="94"/>
        <v>13789238.449999997</v>
      </c>
      <c r="E130" s="5">
        <f t="shared" si="94"/>
        <v>643915.40000000014</v>
      </c>
      <c r="F130" s="5">
        <f t="shared" si="94"/>
        <v>96177.8</v>
      </c>
      <c r="G130" s="5">
        <f t="shared" si="94"/>
        <v>44164.850000000013</v>
      </c>
      <c r="H130" s="5">
        <f t="shared" si="94"/>
        <v>133435.75000000003</v>
      </c>
      <c r="I130" s="5">
        <f t="shared" si="94"/>
        <v>873776.35000000009</v>
      </c>
      <c r="J130" s="5">
        <f t="shared" si="94"/>
        <v>695128.5</v>
      </c>
      <c r="K130" s="5">
        <f t="shared" si="94"/>
        <v>17185.350000000002</v>
      </c>
      <c r="L130" s="5">
        <f t="shared" si="94"/>
        <v>47130.150000000009</v>
      </c>
      <c r="M130" s="5">
        <f t="shared" si="94"/>
        <v>32970.35</v>
      </c>
      <c r="N130" s="5">
        <f t="shared" si="94"/>
        <v>81057.5</v>
      </c>
      <c r="O130" s="5">
        <f t="shared" si="94"/>
        <v>689656.15000000014</v>
      </c>
      <c r="P130" s="5">
        <f t="shared" si="94"/>
        <v>2137198.1500000004</v>
      </c>
      <c r="Q130" s="5">
        <f t="shared" si="94"/>
        <v>1583719.3500000003</v>
      </c>
      <c r="R130" s="5">
        <f t="shared" si="94"/>
        <v>495647.64999999997</v>
      </c>
      <c r="S130" s="5">
        <f t="shared" si="94"/>
        <v>1882695.95</v>
      </c>
      <c r="T130" s="5">
        <f t="shared" si="94"/>
        <v>2887748</v>
      </c>
      <c r="U130" s="5">
        <f t="shared" si="94"/>
        <v>699375.45</v>
      </c>
      <c r="V130" s="5">
        <f t="shared" si="94"/>
        <v>2781952.9000000008</v>
      </c>
      <c r="W130" s="5">
        <f t="shared" si="94"/>
        <v>2185612.6000000006</v>
      </c>
      <c r="X130" s="5">
        <f t="shared" si="94"/>
        <v>2519127.85</v>
      </c>
      <c r="Y130" s="5">
        <f t="shared" si="94"/>
        <v>696108.20000000007</v>
      </c>
      <c r="Z130" s="5">
        <f t="shared" si="94"/>
        <v>248134.7</v>
      </c>
      <c r="AA130" s="5">
        <f t="shared" si="94"/>
        <v>2644597.65</v>
      </c>
      <c r="AB130" s="5">
        <f t="shared" si="94"/>
        <v>88413.85</v>
      </c>
      <c r="AC130" s="5">
        <f t="shared" si="94"/>
        <v>1752792.5999999999</v>
      </c>
      <c r="AD130" s="5">
        <f t="shared" si="94"/>
        <v>503889.39999999997</v>
      </c>
      <c r="AE130" s="5">
        <f t="shared" si="94"/>
        <v>2942337.3999999994</v>
      </c>
      <c r="AF130" s="5">
        <f t="shared" si="94"/>
        <v>395332.04999999993</v>
      </c>
      <c r="AG130" s="5">
        <f t="shared" si="94"/>
        <v>1084516.95</v>
      </c>
      <c r="AH130" s="5">
        <f t="shared" si="94"/>
        <v>2895654.6500000004</v>
      </c>
      <c r="AI130" s="5">
        <f t="shared" ref="AI130:BL130" si="95">AI77</f>
        <v>889800.35</v>
      </c>
      <c r="AJ130" s="5">
        <f t="shared" si="95"/>
        <v>650485.80000000005</v>
      </c>
      <c r="AK130" s="5">
        <f t="shared" si="95"/>
        <v>634075.9</v>
      </c>
      <c r="AL130" s="5">
        <f t="shared" si="95"/>
        <v>394843.55000000005</v>
      </c>
      <c r="AM130" s="5">
        <f t="shared" si="95"/>
        <v>962450.14999999991</v>
      </c>
      <c r="AN130" s="5">
        <f t="shared" si="95"/>
        <v>229181.94999999998</v>
      </c>
      <c r="AO130" s="5">
        <f t="shared" si="95"/>
        <v>890639.85000000009</v>
      </c>
      <c r="AP130" s="5">
        <f t="shared" si="95"/>
        <v>366550.39999999997</v>
      </c>
      <c r="AQ130" s="5">
        <f t="shared" si="95"/>
        <v>466192.65</v>
      </c>
      <c r="AR130" s="5">
        <f t="shared" si="95"/>
        <v>290299.5</v>
      </c>
      <c r="AS130" s="5">
        <f t="shared" si="95"/>
        <v>71152.450000000012</v>
      </c>
      <c r="AT130" s="5">
        <f t="shared" si="95"/>
        <v>36222.100000000013</v>
      </c>
      <c r="AU130" s="5">
        <f t="shared" si="95"/>
        <v>198266.34999999998</v>
      </c>
      <c r="AV130" s="5">
        <f t="shared" si="95"/>
        <v>192716.85000000003</v>
      </c>
      <c r="AW130" s="5">
        <f t="shared" si="95"/>
        <v>193771.5</v>
      </c>
      <c r="AX130" s="5">
        <f t="shared" si="95"/>
        <v>202397.55000000002</v>
      </c>
      <c r="AY130" s="5">
        <f t="shared" si="95"/>
        <v>504943.25</v>
      </c>
      <c r="AZ130" s="5">
        <f t="shared" si="95"/>
        <v>298994.40000000002</v>
      </c>
      <c r="BA130" s="5">
        <f t="shared" si="95"/>
        <v>2112147.5499999998</v>
      </c>
      <c r="BB130" s="5">
        <f t="shared" si="95"/>
        <v>578944.30000000016</v>
      </c>
      <c r="BC130" s="5">
        <f t="shared" si="95"/>
        <v>182248.65</v>
      </c>
      <c r="BD130" s="5">
        <f t="shared" si="95"/>
        <v>89612.049999999988</v>
      </c>
      <c r="BE130" s="5">
        <f t="shared" si="95"/>
        <v>182262.95</v>
      </c>
      <c r="BF130" s="5">
        <f t="shared" si="95"/>
        <v>377227.34999999992</v>
      </c>
      <c r="BG130" s="5">
        <f t="shared" si="95"/>
        <v>131058.05000000002</v>
      </c>
      <c r="BH130" s="5">
        <f t="shared" ref="BH130" si="96">BH77</f>
        <v>221705.80000000002</v>
      </c>
      <c r="BI130" s="5">
        <f t="shared" si="95"/>
        <v>236662.85</v>
      </c>
      <c r="BJ130" s="5">
        <f t="shared" si="95"/>
        <v>87788.3</v>
      </c>
      <c r="BK130" s="5">
        <f t="shared" si="95"/>
        <v>89507.7</v>
      </c>
      <c r="BL130" s="5">
        <f t="shared" si="95"/>
        <v>761873.15</v>
      </c>
      <c r="BM130" s="5">
        <f t="shared" ref="BM130:BZ130" si="97">BM77</f>
        <v>237400.25000000006</v>
      </c>
      <c r="BN130" s="5">
        <f t="shared" si="97"/>
        <v>346987.25000000006</v>
      </c>
      <c r="BO130" s="5">
        <f t="shared" si="97"/>
        <v>1200136.8500000003</v>
      </c>
      <c r="BP130" s="5">
        <f t="shared" si="97"/>
        <v>682480.54999999993</v>
      </c>
      <c r="BQ130" s="5">
        <f t="shared" si="97"/>
        <v>261416.49999999994</v>
      </c>
      <c r="BR130" s="5">
        <f t="shared" si="97"/>
        <v>1928571.8500000006</v>
      </c>
      <c r="BS130" s="5">
        <f t="shared" si="97"/>
        <v>174203.67</v>
      </c>
      <c r="BT130" s="5">
        <f t="shared" si="97"/>
        <v>289429.80000000005</v>
      </c>
      <c r="BU130" s="5">
        <f t="shared" si="97"/>
        <v>81156.049999999988</v>
      </c>
      <c r="BV130" s="5">
        <f t="shared" si="97"/>
        <v>74521.350000000006</v>
      </c>
      <c r="BW130" s="5">
        <f t="shared" si="97"/>
        <v>1159111.2000000002</v>
      </c>
      <c r="BX130" s="5">
        <f t="shared" si="97"/>
        <v>55466.15</v>
      </c>
      <c r="BY130" s="5">
        <f t="shared" si="97"/>
        <v>176275.99999999994</v>
      </c>
      <c r="BZ130" s="5">
        <f t="shared" si="97"/>
        <v>267120.3</v>
      </c>
    </row>
    <row r="131" spans="1:80" x14ac:dyDescent="0.2">
      <c r="B131" s="30" t="s">
        <v>1</v>
      </c>
      <c r="C131" s="5">
        <f t="shared" ref="C131:AH131" si="98">C83</f>
        <v>194317399.55000007</v>
      </c>
      <c r="D131" s="5">
        <f t="shared" si="98"/>
        <v>47820525.900000006</v>
      </c>
      <c r="E131" s="5">
        <f t="shared" si="98"/>
        <v>1489398.8499999999</v>
      </c>
      <c r="F131" s="5">
        <f t="shared" si="98"/>
        <v>150501.69999999998</v>
      </c>
      <c r="G131" s="5">
        <f t="shared" si="98"/>
        <v>67813.099999999991</v>
      </c>
      <c r="H131" s="5">
        <f t="shared" si="98"/>
        <v>926667.60000000009</v>
      </c>
      <c r="I131" s="5">
        <f t="shared" si="98"/>
        <v>5862521.25</v>
      </c>
      <c r="J131" s="5">
        <f t="shared" si="98"/>
        <v>1495249</v>
      </c>
      <c r="K131" s="5">
        <f t="shared" si="98"/>
        <v>21762.1</v>
      </c>
      <c r="L131" s="5">
        <f t="shared" si="98"/>
        <v>475826</v>
      </c>
      <c r="M131" s="5">
        <f t="shared" si="98"/>
        <v>89666.2</v>
      </c>
      <c r="N131" s="5">
        <f t="shared" si="98"/>
        <v>105182.9</v>
      </c>
      <c r="O131" s="5">
        <f t="shared" si="98"/>
        <v>922305.75</v>
      </c>
      <c r="P131" s="5">
        <f t="shared" si="98"/>
        <v>3679415.9000000004</v>
      </c>
      <c r="Q131" s="5">
        <f t="shared" si="98"/>
        <v>2076818.9500000002</v>
      </c>
      <c r="R131" s="5">
        <f t="shared" si="98"/>
        <v>728684.75</v>
      </c>
      <c r="S131" s="5">
        <f t="shared" si="98"/>
        <v>1377110.5</v>
      </c>
      <c r="T131" s="5">
        <f t="shared" si="98"/>
        <v>4773559.0500000007</v>
      </c>
      <c r="U131" s="5">
        <f t="shared" si="98"/>
        <v>1193818.6499999999</v>
      </c>
      <c r="V131" s="5">
        <f t="shared" si="98"/>
        <v>5712172.8499999996</v>
      </c>
      <c r="W131" s="5">
        <f t="shared" si="98"/>
        <v>2156356.25</v>
      </c>
      <c r="X131" s="5">
        <f t="shared" si="98"/>
        <v>6574595.2999999998</v>
      </c>
      <c r="Y131" s="5">
        <f t="shared" si="98"/>
        <v>2193615.75</v>
      </c>
      <c r="Z131" s="5">
        <f t="shared" si="98"/>
        <v>224306.1</v>
      </c>
      <c r="AA131" s="5">
        <f t="shared" si="98"/>
        <v>4111593.1500000004</v>
      </c>
      <c r="AB131" s="5">
        <f t="shared" si="98"/>
        <v>89105.95</v>
      </c>
      <c r="AC131" s="5">
        <f t="shared" si="98"/>
        <v>2987228.4</v>
      </c>
      <c r="AD131" s="5">
        <f t="shared" si="98"/>
        <v>701861.65</v>
      </c>
      <c r="AE131" s="5">
        <f t="shared" si="98"/>
        <v>5448836.5</v>
      </c>
      <c r="AF131" s="5">
        <f t="shared" si="98"/>
        <v>453365.85000000003</v>
      </c>
      <c r="AG131" s="5">
        <f t="shared" si="98"/>
        <v>1116388.9000000001</v>
      </c>
      <c r="AH131" s="5">
        <f t="shared" si="98"/>
        <v>7501920.8499999996</v>
      </c>
      <c r="AI131" s="5">
        <f t="shared" ref="AI131:BL131" si="99">AI83</f>
        <v>1565116.1500000001</v>
      </c>
      <c r="AJ131" s="5">
        <f t="shared" si="99"/>
        <v>792612.64999999991</v>
      </c>
      <c r="AK131" s="5">
        <f t="shared" si="99"/>
        <v>1400451.9500000002</v>
      </c>
      <c r="AL131" s="5">
        <f t="shared" si="99"/>
        <v>742110.10000000009</v>
      </c>
      <c r="AM131" s="5">
        <f t="shared" si="99"/>
        <v>1336906.75</v>
      </c>
      <c r="AN131" s="5">
        <f t="shared" si="99"/>
        <v>77092.849999999991</v>
      </c>
      <c r="AO131" s="5">
        <f t="shared" si="99"/>
        <v>1300265.0999999999</v>
      </c>
      <c r="AP131" s="5">
        <f t="shared" si="99"/>
        <v>849406.79999999993</v>
      </c>
      <c r="AQ131" s="5">
        <f t="shared" si="99"/>
        <v>551942.85</v>
      </c>
      <c r="AR131" s="5">
        <f t="shared" si="99"/>
        <v>339728.25</v>
      </c>
      <c r="AS131" s="5">
        <f t="shared" si="99"/>
        <v>84330.150000000009</v>
      </c>
      <c r="AT131" s="5">
        <f t="shared" si="99"/>
        <v>30578.55</v>
      </c>
      <c r="AU131" s="5">
        <f t="shared" si="99"/>
        <v>479017.7</v>
      </c>
      <c r="AV131" s="5">
        <f t="shared" si="99"/>
        <v>443605.75</v>
      </c>
      <c r="AW131" s="5">
        <f t="shared" si="99"/>
        <v>645788.19999999995</v>
      </c>
      <c r="AX131" s="5">
        <f t="shared" si="99"/>
        <v>622875.05000000005</v>
      </c>
      <c r="AY131" s="5">
        <f t="shared" si="99"/>
        <v>2412474.4499999997</v>
      </c>
      <c r="AZ131" s="5">
        <f t="shared" si="99"/>
        <v>1042948.4</v>
      </c>
      <c r="BA131" s="5">
        <f t="shared" si="99"/>
        <v>26266430.5</v>
      </c>
      <c r="BB131" s="5">
        <f t="shared" si="99"/>
        <v>2029733.9</v>
      </c>
      <c r="BC131" s="5">
        <f t="shared" si="99"/>
        <v>378243.3</v>
      </c>
      <c r="BD131" s="5">
        <f t="shared" si="99"/>
        <v>421588.65</v>
      </c>
      <c r="BE131" s="5">
        <f t="shared" si="99"/>
        <v>1318642.1500000001</v>
      </c>
      <c r="BF131" s="5">
        <f t="shared" si="99"/>
        <v>1483305.15</v>
      </c>
      <c r="BG131" s="5">
        <f t="shared" si="99"/>
        <v>241351.8</v>
      </c>
      <c r="BH131" s="5">
        <f t="shared" ref="BH131" si="100">BH83</f>
        <v>395744.4</v>
      </c>
      <c r="BI131" s="5">
        <f t="shared" si="99"/>
        <v>848959.05</v>
      </c>
      <c r="BJ131" s="5">
        <f t="shared" si="99"/>
        <v>242693.90000000002</v>
      </c>
      <c r="BK131" s="5">
        <f t="shared" si="99"/>
        <v>228999.95</v>
      </c>
      <c r="BL131" s="5">
        <f t="shared" si="99"/>
        <v>2129396.65</v>
      </c>
      <c r="BM131" s="5">
        <f t="shared" ref="BM131:BZ131" si="101">BM83</f>
        <v>990118.79999999993</v>
      </c>
      <c r="BN131" s="5">
        <f t="shared" si="101"/>
        <v>931843.45</v>
      </c>
      <c r="BO131" s="5">
        <f t="shared" si="101"/>
        <v>2915608.75</v>
      </c>
      <c r="BP131" s="5">
        <f t="shared" si="101"/>
        <v>2642987.8000000003</v>
      </c>
      <c r="BQ131" s="5">
        <f t="shared" si="101"/>
        <v>1885253.65</v>
      </c>
      <c r="BR131" s="5">
        <f t="shared" si="101"/>
        <v>10441045.5</v>
      </c>
      <c r="BS131" s="5">
        <f t="shared" si="101"/>
        <v>1207931.25</v>
      </c>
      <c r="BT131" s="5">
        <f t="shared" si="101"/>
        <v>2041205.1</v>
      </c>
      <c r="BU131" s="5">
        <f t="shared" si="101"/>
        <v>124391.34999999999</v>
      </c>
      <c r="BV131" s="5">
        <f t="shared" si="101"/>
        <v>351549.10000000003</v>
      </c>
      <c r="BW131" s="5">
        <f t="shared" si="101"/>
        <v>5818967.9500000002</v>
      </c>
      <c r="BX131" s="5">
        <f t="shared" si="101"/>
        <v>288651.64999999997</v>
      </c>
      <c r="BY131" s="5">
        <f t="shared" si="101"/>
        <v>540334.5</v>
      </c>
      <c r="BZ131" s="5">
        <f t="shared" si="101"/>
        <v>906993.95</v>
      </c>
    </row>
    <row r="132" spans="1:80" x14ac:dyDescent="0.2">
      <c r="B132" s="30" t="s">
        <v>84</v>
      </c>
      <c r="C132" s="5">
        <f t="shared" ref="C132:AH132" si="102">C94</f>
        <v>93097789.029999986</v>
      </c>
      <c r="D132" s="5">
        <f t="shared" si="102"/>
        <v>14526566.39896475</v>
      </c>
      <c r="E132" s="5">
        <f t="shared" si="102"/>
        <v>1459130.3674085583</v>
      </c>
      <c r="F132" s="5">
        <f t="shared" si="102"/>
        <v>230382.46589820299</v>
      </c>
      <c r="G132" s="5">
        <f t="shared" si="102"/>
        <v>188789.16248577158</v>
      </c>
      <c r="H132" s="5">
        <f t="shared" si="102"/>
        <v>858109.15562502807</v>
      </c>
      <c r="I132" s="5">
        <f t="shared" si="102"/>
        <v>1701835.4726943879</v>
      </c>
      <c r="J132" s="5">
        <f t="shared" si="102"/>
        <v>688359.61404846341</v>
      </c>
      <c r="K132" s="5">
        <f t="shared" si="102"/>
        <v>153640.11034045278</v>
      </c>
      <c r="L132" s="5">
        <f t="shared" si="102"/>
        <v>341487.72022819566</v>
      </c>
      <c r="M132" s="5">
        <f t="shared" si="102"/>
        <v>179381.10651277239</v>
      </c>
      <c r="N132" s="5">
        <f t="shared" si="102"/>
        <v>371353.31409204641</v>
      </c>
      <c r="O132" s="5">
        <f t="shared" si="102"/>
        <v>1294284.9288785325</v>
      </c>
      <c r="P132" s="5">
        <f t="shared" si="102"/>
        <v>1466190.3895466304</v>
      </c>
      <c r="Q132" s="5">
        <f t="shared" si="102"/>
        <v>1380007.242655762</v>
      </c>
      <c r="R132" s="5">
        <f t="shared" si="102"/>
        <v>550568.98445887852</v>
      </c>
      <c r="S132" s="5">
        <f t="shared" si="102"/>
        <v>1038197.4757041407</v>
      </c>
      <c r="T132" s="5">
        <f t="shared" si="102"/>
        <v>1455738.4072656976</v>
      </c>
      <c r="U132" s="5">
        <f t="shared" si="102"/>
        <v>763073.92031123326</v>
      </c>
      <c r="V132" s="5">
        <f t="shared" si="102"/>
        <v>1042722.7426668367</v>
      </c>
      <c r="W132" s="5">
        <f t="shared" si="102"/>
        <v>1255595.569167647</v>
      </c>
      <c r="X132" s="5">
        <f t="shared" si="102"/>
        <v>2061165.7062277088</v>
      </c>
      <c r="Y132" s="5">
        <f t="shared" si="102"/>
        <v>705246.84897769184</v>
      </c>
      <c r="Z132" s="5">
        <f t="shared" si="102"/>
        <v>354903.96868264663</v>
      </c>
      <c r="AA132" s="5">
        <f t="shared" si="102"/>
        <v>2045779.3572761198</v>
      </c>
      <c r="AB132" s="5">
        <f t="shared" si="102"/>
        <v>244583.02185520381</v>
      </c>
      <c r="AC132" s="5">
        <f t="shared" si="102"/>
        <v>1592677.6579166474</v>
      </c>
      <c r="AD132" s="5">
        <f t="shared" si="102"/>
        <v>449459.24881781661</v>
      </c>
      <c r="AE132" s="5">
        <f t="shared" si="102"/>
        <v>1172745.153049119</v>
      </c>
      <c r="AF132" s="5">
        <f t="shared" si="102"/>
        <v>559484.27952647523</v>
      </c>
      <c r="AG132" s="5">
        <f t="shared" si="102"/>
        <v>1129156.423219091</v>
      </c>
      <c r="AH132" s="5">
        <f t="shared" si="102"/>
        <v>2300996.2744247941</v>
      </c>
      <c r="AI132" s="5">
        <f t="shared" ref="AI132:BL132" si="103">AI94</f>
        <v>853217.71409663174</v>
      </c>
      <c r="AJ132" s="5">
        <f t="shared" si="103"/>
        <v>837484.54379016883</v>
      </c>
      <c r="AK132" s="5">
        <f t="shared" si="103"/>
        <v>1035723.0199273552</v>
      </c>
      <c r="AL132" s="5">
        <f t="shared" si="103"/>
        <v>885299.69373262278</v>
      </c>
      <c r="AM132" s="5">
        <f t="shared" si="103"/>
        <v>1403770.5183466764</v>
      </c>
      <c r="AN132" s="5">
        <f t="shared" si="103"/>
        <v>360014.06799577392</v>
      </c>
      <c r="AO132" s="5">
        <f t="shared" si="103"/>
        <v>1556432.4759375665</v>
      </c>
      <c r="AP132" s="5">
        <f t="shared" si="103"/>
        <v>989987.09851237759</v>
      </c>
      <c r="AQ132" s="5">
        <f t="shared" si="103"/>
        <v>1001935.0579090182</v>
      </c>
      <c r="AR132" s="5">
        <f t="shared" si="103"/>
        <v>778049.4823138339</v>
      </c>
      <c r="AS132" s="5">
        <f t="shared" si="103"/>
        <v>453540.55507715524</v>
      </c>
      <c r="AT132" s="5">
        <f t="shared" si="103"/>
        <v>354941.69366153254</v>
      </c>
      <c r="AU132" s="5">
        <f t="shared" si="103"/>
        <v>609443.88438601361</v>
      </c>
      <c r="AV132" s="5">
        <f t="shared" si="103"/>
        <v>478658.94488922175</v>
      </c>
      <c r="AW132" s="5">
        <f t="shared" si="103"/>
        <v>716363.47443594667</v>
      </c>
      <c r="AX132" s="5">
        <f t="shared" si="103"/>
        <v>1059222.3419013214</v>
      </c>
      <c r="AY132" s="5">
        <f t="shared" si="103"/>
        <v>1138055.4082900819</v>
      </c>
      <c r="AZ132" s="5">
        <f t="shared" si="103"/>
        <v>744257.59205228265</v>
      </c>
      <c r="BA132" s="5">
        <f t="shared" si="103"/>
        <v>6670344.4490582533</v>
      </c>
      <c r="BB132" s="5">
        <f t="shared" si="103"/>
        <v>1769452.401014305</v>
      </c>
      <c r="BC132" s="5">
        <f t="shared" si="103"/>
        <v>709231.1605092067</v>
      </c>
      <c r="BD132" s="5">
        <f t="shared" si="103"/>
        <v>517178.74408720952</v>
      </c>
      <c r="BE132" s="5">
        <f t="shared" si="103"/>
        <v>771506.20586131827</v>
      </c>
      <c r="BF132" s="5">
        <f t="shared" si="103"/>
        <v>1262981.1999824261</v>
      </c>
      <c r="BG132" s="5">
        <f t="shared" si="103"/>
        <v>259308.87218563718</v>
      </c>
      <c r="BH132" s="5">
        <f t="shared" ref="BH132" si="104">BH94</f>
        <v>809842.03521961032</v>
      </c>
      <c r="BI132" s="5">
        <f t="shared" si="103"/>
        <v>725271.54465093557</v>
      </c>
      <c r="BJ132" s="5">
        <f t="shared" si="103"/>
        <v>225157.68611026969</v>
      </c>
      <c r="BK132" s="5">
        <f t="shared" si="103"/>
        <v>367535.58603037102</v>
      </c>
      <c r="BL132" s="5">
        <f t="shared" si="103"/>
        <v>1522966.1799318588</v>
      </c>
      <c r="BM132" s="5">
        <f t="shared" ref="BM132:BZ132" si="105">BM94</f>
        <v>770138.64941914799</v>
      </c>
      <c r="BN132" s="5">
        <f t="shared" si="105"/>
        <v>969080.66798285546</v>
      </c>
      <c r="BO132" s="5">
        <f t="shared" si="105"/>
        <v>2081498.2296529789</v>
      </c>
      <c r="BP132" s="5">
        <f t="shared" si="105"/>
        <v>1417280.1707339422</v>
      </c>
      <c r="BQ132" s="5">
        <f t="shared" si="105"/>
        <v>551183.7026068035</v>
      </c>
      <c r="BR132" s="5">
        <f t="shared" si="105"/>
        <v>4372961.9935807204</v>
      </c>
      <c r="BS132" s="5">
        <f t="shared" si="105"/>
        <v>976129.10439920123</v>
      </c>
      <c r="BT132" s="5">
        <f t="shared" si="105"/>
        <v>871994.31287667167</v>
      </c>
      <c r="BU132" s="5">
        <f t="shared" si="105"/>
        <v>249586.68654326772</v>
      </c>
      <c r="BV132" s="5">
        <f t="shared" si="105"/>
        <v>515161.669069344</v>
      </c>
      <c r="BW132" s="5">
        <f t="shared" si="105"/>
        <v>3378642.1985483267</v>
      </c>
      <c r="BX132" s="5">
        <f t="shared" si="105"/>
        <v>342228.77956114348</v>
      </c>
      <c r="BY132" s="5">
        <f t="shared" si="105"/>
        <v>588785.99743871612</v>
      </c>
      <c r="BZ132" s="5">
        <f t="shared" si="105"/>
        <v>1584330.7467625872</v>
      </c>
    </row>
    <row r="133" spans="1:80" x14ac:dyDescent="0.2">
      <c r="B133" s="33" t="s">
        <v>85</v>
      </c>
      <c r="C133" s="5">
        <f t="shared" ref="C133:AH133" si="106">C99</f>
        <v>1540902.3099999996</v>
      </c>
      <c r="D133" s="5">
        <f t="shared" si="106"/>
        <v>323315</v>
      </c>
      <c r="E133" s="5">
        <f t="shared" si="106"/>
        <v>30981.9</v>
      </c>
      <c r="F133" s="5">
        <f t="shared" si="106"/>
        <v>3311.7</v>
      </c>
      <c r="G133" s="5">
        <f t="shared" si="106"/>
        <v>2926.2</v>
      </c>
      <c r="H133" s="5">
        <f t="shared" si="106"/>
        <v>10835.6</v>
      </c>
      <c r="I133" s="5">
        <f t="shared" si="106"/>
        <v>16137.84</v>
      </c>
      <c r="J133" s="5">
        <f t="shared" si="106"/>
        <v>13514.2</v>
      </c>
      <c r="K133" s="5">
        <f t="shared" si="106"/>
        <v>1686.8</v>
      </c>
      <c r="L133" s="5">
        <f t="shared" si="106"/>
        <v>0</v>
      </c>
      <c r="M133" s="5">
        <f t="shared" si="106"/>
        <v>2691.35</v>
      </c>
      <c r="N133" s="5">
        <f t="shared" si="106"/>
        <v>6224.15</v>
      </c>
      <c r="O133" s="5">
        <f t="shared" si="106"/>
        <v>16070.6</v>
      </c>
      <c r="P133" s="5">
        <f t="shared" si="106"/>
        <v>38988.199999999997</v>
      </c>
      <c r="Q133" s="5">
        <f t="shared" si="106"/>
        <v>21604.1</v>
      </c>
      <c r="R133" s="5">
        <f t="shared" si="106"/>
        <v>11747.55</v>
      </c>
      <c r="S133" s="5">
        <f t="shared" si="106"/>
        <v>12716</v>
      </c>
      <c r="T133" s="5">
        <f t="shared" si="106"/>
        <v>28074.15</v>
      </c>
      <c r="U133" s="5">
        <f t="shared" si="106"/>
        <v>7529.6500000000005</v>
      </c>
      <c r="V133" s="5">
        <f t="shared" si="106"/>
        <v>9254.1</v>
      </c>
      <c r="W133" s="5">
        <f t="shared" si="106"/>
        <v>16086.05</v>
      </c>
      <c r="X133" s="5">
        <f t="shared" si="106"/>
        <v>16638.939999999999</v>
      </c>
      <c r="Y133" s="5">
        <f t="shared" si="106"/>
        <v>7955.8</v>
      </c>
      <c r="Z133" s="5">
        <f t="shared" si="106"/>
        <v>3839.75</v>
      </c>
      <c r="AA133" s="5">
        <f t="shared" si="106"/>
        <v>40411.949999999997</v>
      </c>
      <c r="AB133" s="5">
        <f t="shared" si="106"/>
        <v>2122.6</v>
      </c>
      <c r="AC133" s="5">
        <f t="shared" si="106"/>
        <v>24769.599999999999</v>
      </c>
      <c r="AD133" s="5">
        <f t="shared" si="106"/>
        <v>4004.2</v>
      </c>
      <c r="AE133" s="5">
        <f t="shared" si="106"/>
        <v>26304.400000000001</v>
      </c>
      <c r="AF133" s="5">
        <f t="shared" si="106"/>
        <v>7099</v>
      </c>
      <c r="AG133" s="5">
        <f t="shared" si="106"/>
        <v>22369.599999999999</v>
      </c>
      <c r="AH133" s="5">
        <f t="shared" si="106"/>
        <v>32995.800000000003</v>
      </c>
      <c r="AI133" s="5">
        <f t="shared" ref="AI133:BL133" si="107">AI99</f>
        <v>6406.6</v>
      </c>
      <c r="AJ133" s="5">
        <f t="shared" si="107"/>
        <v>11440.75</v>
      </c>
      <c r="AK133" s="5">
        <f t="shared" si="107"/>
        <v>12381.95</v>
      </c>
      <c r="AL133" s="5">
        <f t="shared" si="107"/>
        <v>9360</v>
      </c>
      <c r="AM133" s="5">
        <f t="shared" si="107"/>
        <v>11435.1</v>
      </c>
      <c r="AN133" s="5">
        <f t="shared" si="107"/>
        <v>26169.1</v>
      </c>
      <c r="AO133" s="5">
        <f t="shared" si="107"/>
        <v>25085.75</v>
      </c>
      <c r="AP133" s="5">
        <f t="shared" si="107"/>
        <v>11587.6</v>
      </c>
      <c r="AQ133" s="5">
        <f t="shared" si="107"/>
        <v>11539.8</v>
      </c>
      <c r="AR133" s="5">
        <f t="shared" si="107"/>
        <v>184.2</v>
      </c>
      <c r="AS133" s="5">
        <f t="shared" si="107"/>
        <v>5692.75</v>
      </c>
      <c r="AT133" s="5">
        <f t="shared" si="107"/>
        <v>6219.8</v>
      </c>
      <c r="AU133" s="5">
        <f t="shared" si="107"/>
        <v>6831.84</v>
      </c>
      <c r="AV133" s="5">
        <f t="shared" si="107"/>
        <v>5639.6</v>
      </c>
      <c r="AW133" s="5">
        <f t="shared" si="107"/>
        <v>7044.75</v>
      </c>
      <c r="AX133" s="5">
        <f t="shared" si="107"/>
        <v>10256.549999999999</v>
      </c>
      <c r="AY133" s="5">
        <f t="shared" si="107"/>
        <v>26924.7</v>
      </c>
      <c r="AZ133" s="5">
        <f t="shared" si="107"/>
        <v>13704</v>
      </c>
      <c r="BA133" s="5">
        <f t="shared" si="107"/>
        <v>102585.45</v>
      </c>
      <c r="BB133" s="5">
        <f t="shared" si="107"/>
        <v>18412.2</v>
      </c>
      <c r="BC133" s="5">
        <f t="shared" si="107"/>
        <v>7467</v>
      </c>
      <c r="BD133" s="5">
        <f t="shared" si="107"/>
        <v>19727.599999999999</v>
      </c>
      <c r="BE133" s="5">
        <f t="shared" si="107"/>
        <v>12374.02</v>
      </c>
      <c r="BF133" s="5">
        <f t="shared" si="107"/>
        <v>35558.6</v>
      </c>
      <c r="BG133" s="5">
        <f t="shared" si="107"/>
        <v>3946.55</v>
      </c>
      <c r="BH133" s="5">
        <f t="shared" ref="BH133" si="108">BH99</f>
        <v>22105.85</v>
      </c>
      <c r="BI133" s="5">
        <f t="shared" si="107"/>
        <v>15758.5</v>
      </c>
      <c r="BJ133" s="5">
        <f t="shared" si="107"/>
        <v>6350.7</v>
      </c>
      <c r="BK133" s="5">
        <f t="shared" si="107"/>
        <v>9367.24</v>
      </c>
      <c r="BL133" s="5">
        <f t="shared" si="107"/>
        <v>28659</v>
      </c>
      <c r="BM133" s="5">
        <f t="shared" ref="BM133:BZ133" si="109">BM99</f>
        <v>7014.75</v>
      </c>
      <c r="BN133" s="5">
        <f t="shared" si="109"/>
        <v>13406.02</v>
      </c>
      <c r="BO133" s="5">
        <f t="shared" si="109"/>
        <v>29520.7</v>
      </c>
      <c r="BP133" s="5">
        <f t="shared" si="109"/>
        <v>31214.15</v>
      </c>
      <c r="BQ133" s="5">
        <f t="shared" si="109"/>
        <v>12733.65</v>
      </c>
      <c r="BR133" s="5">
        <f t="shared" si="109"/>
        <v>98767.3</v>
      </c>
      <c r="BS133" s="5">
        <f t="shared" si="109"/>
        <v>8815.48</v>
      </c>
      <c r="BT133" s="5">
        <f t="shared" si="109"/>
        <v>9798</v>
      </c>
      <c r="BU133" s="5">
        <f t="shared" si="109"/>
        <v>1307.4000000000001</v>
      </c>
      <c r="BV133" s="5">
        <f t="shared" si="109"/>
        <v>7939.7</v>
      </c>
      <c r="BW133" s="5">
        <f t="shared" si="109"/>
        <v>30354.94</v>
      </c>
      <c r="BX133" s="5">
        <f t="shared" si="109"/>
        <v>5569.95</v>
      </c>
      <c r="BY133" s="5">
        <f t="shared" si="109"/>
        <v>12075.54</v>
      </c>
      <c r="BZ133" s="5">
        <f t="shared" si="109"/>
        <v>19960.400000000001</v>
      </c>
    </row>
    <row r="134" spans="1:80" x14ac:dyDescent="0.2">
      <c r="B134" s="33" t="s">
        <v>2</v>
      </c>
      <c r="C134" s="5">
        <f t="shared" ref="C134:AH134" si="110">C104</f>
        <v>56845560.349999994</v>
      </c>
      <c r="D134" s="5">
        <f t="shared" si="110"/>
        <v>9408205</v>
      </c>
      <c r="E134" s="5">
        <f t="shared" si="110"/>
        <v>770770.1</v>
      </c>
      <c r="F134" s="5">
        <f t="shared" si="110"/>
        <v>93581.4</v>
      </c>
      <c r="G134" s="5">
        <f t="shared" si="110"/>
        <v>94943.1</v>
      </c>
      <c r="H134" s="5">
        <f t="shared" si="110"/>
        <v>410990.85</v>
      </c>
      <c r="I134" s="5">
        <f t="shared" si="110"/>
        <v>1202914.5</v>
      </c>
      <c r="J134" s="5">
        <f t="shared" si="110"/>
        <v>278048.55</v>
      </c>
      <c r="K134" s="5">
        <f t="shared" si="110"/>
        <v>84752.9</v>
      </c>
      <c r="L134" s="5">
        <f t="shared" si="110"/>
        <v>229923.4</v>
      </c>
      <c r="M134" s="5">
        <f t="shared" si="110"/>
        <v>48428.4</v>
      </c>
      <c r="N134" s="5">
        <f t="shared" si="110"/>
        <v>172184.4</v>
      </c>
      <c r="O134" s="5">
        <f t="shared" si="110"/>
        <v>983698.7</v>
      </c>
      <c r="P134" s="5">
        <f t="shared" si="110"/>
        <v>1230831.8500000001</v>
      </c>
      <c r="Q134" s="5">
        <f t="shared" si="110"/>
        <v>1063322.45</v>
      </c>
      <c r="R134" s="5">
        <f t="shared" si="110"/>
        <v>359025.45</v>
      </c>
      <c r="S134" s="5">
        <f t="shared" si="110"/>
        <v>756910</v>
      </c>
      <c r="T134" s="5">
        <f t="shared" si="110"/>
        <v>1035178.55</v>
      </c>
      <c r="U134" s="5">
        <f t="shared" si="110"/>
        <v>317642.40000000002</v>
      </c>
      <c r="V134" s="5">
        <f t="shared" si="110"/>
        <v>645304.35</v>
      </c>
      <c r="W134" s="5">
        <f t="shared" si="110"/>
        <v>917133.5</v>
      </c>
      <c r="X134" s="5">
        <f t="shared" si="110"/>
        <v>819403.1</v>
      </c>
      <c r="Y134" s="5">
        <f t="shared" si="110"/>
        <v>503943.7</v>
      </c>
      <c r="Z134" s="5">
        <f t="shared" si="110"/>
        <v>263697.40000000002</v>
      </c>
      <c r="AA134" s="5">
        <f t="shared" si="110"/>
        <v>1260905.8500000001</v>
      </c>
      <c r="AB134" s="5">
        <f t="shared" si="110"/>
        <v>113360.25</v>
      </c>
      <c r="AC134" s="5">
        <f t="shared" si="110"/>
        <v>622628.35</v>
      </c>
      <c r="AD134" s="5">
        <f t="shared" si="110"/>
        <v>233597.7</v>
      </c>
      <c r="AE134" s="5">
        <f t="shared" si="110"/>
        <v>692652.8</v>
      </c>
      <c r="AF134" s="5">
        <f t="shared" si="110"/>
        <v>237109.45</v>
      </c>
      <c r="AG134" s="5">
        <f t="shared" si="110"/>
        <v>468774</v>
      </c>
      <c r="AH134" s="5">
        <f t="shared" si="110"/>
        <v>1324873.5</v>
      </c>
      <c r="AI134" s="5">
        <f t="shared" ref="AI134:BL134" si="111">AI104</f>
        <v>352531.5</v>
      </c>
      <c r="AJ134" s="5">
        <f t="shared" si="111"/>
        <v>821613.7</v>
      </c>
      <c r="AK134" s="5">
        <f t="shared" si="111"/>
        <v>606278.35</v>
      </c>
      <c r="AL134" s="5">
        <f t="shared" si="111"/>
        <v>423849</v>
      </c>
      <c r="AM134" s="5">
        <f t="shared" si="111"/>
        <v>1137198.3500000001</v>
      </c>
      <c r="AN134" s="5">
        <f t="shared" si="111"/>
        <v>167299.29999999999</v>
      </c>
      <c r="AO134" s="5">
        <f t="shared" si="111"/>
        <v>1074587.55</v>
      </c>
      <c r="AP134" s="5">
        <f t="shared" si="111"/>
        <v>839502.15</v>
      </c>
      <c r="AQ134" s="5">
        <f t="shared" si="111"/>
        <v>560969.35</v>
      </c>
      <c r="AR134" s="5">
        <f t="shared" si="111"/>
        <v>511463.4</v>
      </c>
      <c r="AS134" s="5">
        <f t="shared" si="111"/>
        <v>363495.9</v>
      </c>
      <c r="AT134" s="5">
        <f t="shared" si="111"/>
        <v>368474.85</v>
      </c>
      <c r="AU134" s="5">
        <f t="shared" si="111"/>
        <v>403380.05</v>
      </c>
      <c r="AV134" s="5">
        <f t="shared" si="111"/>
        <v>356888.1</v>
      </c>
      <c r="AW134" s="5">
        <f t="shared" si="111"/>
        <v>932177.7</v>
      </c>
      <c r="AX134" s="5">
        <f t="shared" si="111"/>
        <v>938746.7</v>
      </c>
      <c r="AY134" s="5">
        <f t="shared" si="111"/>
        <v>811151.05</v>
      </c>
      <c r="AZ134" s="5">
        <f t="shared" si="111"/>
        <v>920873</v>
      </c>
      <c r="BA134" s="5">
        <f t="shared" si="111"/>
        <v>2948011.3</v>
      </c>
      <c r="BB134" s="5">
        <f t="shared" si="111"/>
        <v>824830</v>
      </c>
      <c r="BC134" s="5">
        <f t="shared" si="111"/>
        <v>512690.45</v>
      </c>
      <c r="BD134" s="5">
        <f t="shared" si="111"/>
        <v>568824.19999999995</v>
      </c>
      <c r="BE134" s="5">
        <f t="shared" si="111"/>
        <v>392844.6</v>
      </c>
      <c r="BF134" s="5">
        <f t="shared" si="111"/>
        <v>474714</v>
      </c>
      <c r="BG134" s="5">
        <f t="shared" si="111"/>
        <v>173362.5</v>
      </c>
      <c r="BH134" s="5">
        <f t="shared" ref="BH134" si="112">BH104</f>
        <v>596247.75</v>
      </c>
      <c r="BI134" s="5">
        <f t="shared" si="111"/>
        <v>542397.55000000005</v>
      </c>
      <c r="BJ134" s="5">
        <f t="shared" si="111"/>
        <v>123780.9</v>
      </c>
      <c r="BK134" s="5">
        <f t="shared" si="111"/>
        <v>112957.35</v>
      </c>
      <c r="BL134" s="5">
        <f t="shared" si="111"/>
        <v>744828.5</v>
      </c>
      <c r="BM134" s="5">
        <f t="shared" ref="BM134:BZ134" si="113">BM104</f>
        <v>242015.5</v>
      </c>
      <c r="BN134" s="5">
        <f t="shared" si="113"/>
        <v>618087.05000000005</v>
      </c>
      <c r="BO134" s="5">
        <f t="shared" si="113"/>
        <v>1314215.1000000001</v>
      </c>
      <c r="BP134" s="5">
        <f t="shared" si="113"/>
        <v>1028121</v>
      </c>
      <c r="BQ134" s="5">
        <f t="shared" si="113"/>
        <v>410197.65</v>
      </c>
      <c r="BR134" s="5">
        <f t="shared" si="113"/>
        <v>2391764.9500000002</v>
      </c>
      <c r="BS134" s="5">
        <f t="shared" si="113"/>
        <v>600072.30000000005</v>
      </c>
      <c r="BT134" s="5">
        <f t="shared" si="113"/>
        <v>496081</v>
      </c>
      <c r="BU134" s="5">
        <f t="shared" si="113"/>
        <v>124748.3</v>
      </c>
      <c r="BV134" s="5">
        <f t="shared" si="113"/>
        <v>316696.8</v>
      </c>
      <c r="BW134" s="5">
        <f t="shared" si="113"/>
        <v>1464108.35</v>
      </c>
      <c r="BX134" s="5">
        <f t="shared" si="113"/>
        <v>320376.40000000002</v>
      </c>
      <c r="BY134" s="5">
        <f t="shared" si="113"/>
        <v>355206.35</v>
      </c>
      <c r="BZ134" s="5">
        <f t="shared" si="113"/>
        <v>913164.55</v>
      </c>
    </row>
    <row r="135" spans="1:80" x14ac:dyDescent="0.2">
      <c r="B135" s="33" t="s">
        <v>3</v>
      </c>
      <c r="C135" s="5">
        <f t="shared" ref="C135:AH135" si="114">C109</f>
        <v>75612631.199999988</v>
      </c>
      <c r="D135" s="5">
        <f t="shared" si="114"/>
        <v>11329866.949999999</v>
      </c>
      <c r="E135" s="5">
        <f t="shared" si="114"/>
        <v>1579506.25</v>
      </c>
      <c r="F135" s="5">
        <f t="shared" si="114"/>
        <v>131277.75</v>
      </c>
      <c r="G135" s="5">
        <f t="shared" si="114"/>
        <v>133127.25</v>
      </c>
      <c r="H135" s="5">
        <f t="shared" si="114"/>
        <v>743966.55</v>
      </c>
      <c r="I135" s="5">
        <f t="shared" si="114"/>
        <v>2559877.6500000004</v>
      </c>
      <c r="J135" s="5">
        <f t="shared" si="114"/>
        <v>350667</v>
      </c>
      <c r="K135" s="5">
        <f t="shared" si="114"/>
        <v>106806.1</v>
      </c>
      <c r="L135" s="5">
        <f t="shared" si="114"/>
        <v>194992.15</v>
      </c>
      <c r="M135" s="5">
        <f t="shared" si="114"/>
        <v>196823.7</v>
      </c>
      <c r="N135" s="5">
        <f t="shared" si="114"/>
        <v>285635.20000000001</v>
      </c>
      <c r="O135" s="5">
        <f t="shared" si="114"/>
        <v>1081040.2</v>
      </c>
      <c r="P135" s="5">
        <f t="shared" si="114"/>
        <v>1275960.3</v>
      </c>
      <c r="Q135" s="5">
        <f t="shared" si="114"/>
        <v>1870297</v>
      </c>
      <c r="R135" s="5">
        <f t="shared" si="114"/>
        <v>514280.65</v>
      </c>
      <c r="S135" s="5">
        <f t="shared" si="114"/>
        <v>710346.8</v>
      </c>
      <c r="T135" s="5">
        <f t="shared" si="114"/>
        <v>1385807.4000000001</v>
      </c>
      <c r="U135" s="5">
        <f t="shared" si="114"/>
        <v>943034.75</v>
      </c>
      <c r="V135" s="5">
        <f t="shared" si="114"/>
        <v>1212062.7999999998</v>
      </c>
      <c r="W135" s="5">
        <f t="shared" si="114"/>
        <v>1086500.7</v>
      </c>
      <c r="X135" s="5">
        <f t="shared" si="114"/>
        <v>1325382.55</v>
      </c>
      <c r="Y135" s="5">
        <f t="shared" si="114"/>
        <v>980885.79999999993</v>
      </c>
      <c r="Z135" s="5">
        <f t="shared" si="114"/>
        <v>271342.45</v>
      </c>
      <c r="AA135" s="5">
        <f t="shared" si="114"/>
        <v>1487034.2</v>
      </c>
      <c r="AB135" s="5">
        <f t="shared" si="114"/>
        <v>353900.05</v>
      </c>
      <c r="AC135" s="5">
        <f t="shared" si="114"/>
        <v>837929</v>
      </c>
      <c r="AD135" s="5">
        <f t="shared" si="114"/>
        <v>111685.25</v>
      </c>
      <c r="AE135" s="5">
        <f t="shared" si="114"/>
        <v>1020898.05</v>
      </c>
      <c r="AF135" s="5">
        <f t="shared" si="114"/>
        <v>298370.59999999998</v>
      </c>
      <c r="AG135" s="5">
        <f t="shared" si="114"/>
        <v>1011938.9500000001</v>
      </c>
      <c r="AH135" s="5">
        <f t="shared" si="114"/>
        <v>1957404.25</v>
      </c>
      <c r="AI135" s="5">
        <f t="shared" ref="AI135:BL135" si="115">AI109</f>
        <v>329641</v>
      </c>
      <c r="AJ135" s="5">
        <f t="shared" si="115"/>
        <v>573386.15</v>
      </c>
      <c r="AK135" s="5">
        <f t="shared" si="115"/>
        <v>901621.95000000007</v>
      </c>
      <c r="AL135" s="5">
        <f t="shared" si="115"/>
        <v>590860.6</v>
      </c>
      <c r="AM135" s="5">
        <f t="shared" si="115"/>
        <v>1275579.75</v>
      </c>
      <c r="AN135" s="5">
        <f t="shared" si="115"/>
        <v>111231.05</v>
      </c>
      <c r="AO135" s="5">
        <f t="shared" si="115"/>
        <v>1079894.05</v>
      </c>
      <c r="AP135" s="5">
        <f t="shared" si="115"/>
        <v>983198.35</v>
      </c>
      <c r="AQ135" s="5">
        <f t="shared" si="115"/>
        <v>669471.80000000005</v>
      </c>
      <c r="AR135" s="5">
        <f t="shared" si="115"/>
        <v>426621.35000000003</v>
      </c>
      <c r="AS135" s="5">
        <f t="shared" si="115"/>
        <v>665209.19999999995</v>
      </c>
      <c r="AT135" s="5">
        <f t="shared" si="115"/>
        <v>461591.6</v>
      </c>
      <c r="AU135" s="5">
        <f t="shared" si="115"/>
        <v>499006.1</v>
      </c>
      <c r="AV135" s="5">
        <f t="shared" si="115"/>
        <v>205806.25</v>
      </c>
      <c r="AW135" s="5">
        <f t="shared" si="115"/>
        <v>443359.85000000003</v>
      </c>
      <c r="AX135" s="5">
        <f t="shared" si="115"/>
        <v>615320.25</v>
      </c>
      <c r="AY135" s="5">
        <f t="shared" si="115"/>
        <v>1406183.75</v>
      </c>
      <c r="AZ135" s="5">
        <f t="shared" si="115"/>
        <v>1222571</v>
      </c>
      <c r="BA135" s="5">
        <f t="shared" si="115"/>
        <v>5038614.1000000006</v>
      </c>
      <c r="BB135" s="5">
        <f t="shared" si="115"/>
        <v>973910.14999999991</v>
      </c>
      <c r="BC135" s="5">
        <f t="shared" si="115"/>
        <v>442802.5</v>
      </c>
      <c r="BD135" s="5">
        <f t="shared" si="115"/>
        <v>283493.55000000005</v>
      </c>
      <c r="BE135" s="5">
        <f t="shared" si="115"/>
        <v>580911.35</v>
      </c>
      <c r="BF135" s="5">
        <f t="shared" si="115"/>
        <v>626746.39999999991</v>
      </c>
      <c r="BG135" s="5">
        <f t="shared" si="115"/>
        <v>314148.5</v>
      </c>
      <c r="BH135" s="5">
        <f t="shared" ref="BH135" si="116">BH109</f>
        <v>573250.65</v>
      </c>
      <c r="BI135" s="5">
        <f t="shared" si="115"/>
        <v>428059.55</v>
      </c>
      <c r="BJ135" s="5">
        <f t="shared" si="115"/>
        <v>81328.55</v>
      </c>
      <c r="BK135" s="5">
        <f t="shared" si="115"/>
        <v>257067.5</v>
      </c>
      <c r="BL135" s="5">
        <f t="shared" si="115"/>
        <v>1136677.25</v>
      </c>
      <c r="BM135" s="5">
        <f t="shared" ref="BM135:BZ135" si="117">BM109</f>
        <v>205770.95</v>
      </c>
      <c r="BN135" s="5">
        <f t="shared" si="117"/>
        <v>1091908.7</v>
      </c>
      <c r="BO135" s="5">
        <f t="shared" si="117"/>
        <v>2215408.5500000003</v>
      </c>
      <c r="BP135" s="5">
        <f t="shared" si="117"/>
        <v>2399067.5500000003</v>
      </c>
      <c r="BQ135" s="5">
        <f t="shared" si="117"/>
        <v>138034.4</v>
      </c>
      <c r="BR135" s="5">
        <f t="shared" si="117"/>
        <v>3015524.4</v>
      </c>
      <c r="BS135" s="5">
        <f t="shared" si="117"/>
        <v>614910.5</v>
      </c>
      <c r="BT135" s="5">
        <f t="shared" si="117"/>
        <v>361152.35</v>
      </c>
      <c r="BU135" s="5">
        <f t="shared" si="117"/>
        <v>203080.05</v>
      </c>
      <c r="BV135" s="5">
        <f t="shared" si="117"/>
        <v>482879.85</v>
      </c>
      <c r="BW135" s="5">
        <f t="shared" si="117"/>
        <v>2306922.9000000004</v>
      </c>
      <c r="BX135" s="5">
        <f t="shared" si="117"/>
        <v>301562.40000000002</v>
      </c>
      <c r="BY135" s="5">
        <f t="shared" si="117"/>
        <v>200975.45</v>
      </c>
      <c r="BZ135" s="5">
        <f t="shared" si="117"/>
        <v>1529220.75</v>
      </c>
    </row>
    <row r="136" spans="1:80" x14ac:dyDescent="0.2">
      <c r="B136" s="33" t="s">
        <v>79</v>
      </c>
      <c r="C136" s="5">
        <f>SUM(C129:C135)</f>
        <v>1805771424.307817</v>
      </c>
      <c r="D136" s="5">
        <f t="shared" ref="D136:BM136" si="118">SUM(D129:D135)</f>
        <v>295239965.06890476</v>
      </c>
      <c r="E136" s="5">
        <f t="shared" si="118"/>
        <v>27232432.767272718</v>
      </c>
      <c r="F136" s="5">
        <f t="shared" si="118"/>
        <v>4038007.5788991828</v>
      </c>
      <c r="G136" s="5">
        <f t="shared" si="118"/>
        <v>3254033.1868978939</v>
      </c>
      <c r="H136" s="5">
        <f t="shared" si="118"/>
        <v>21282877.93514074</v>
      </c>
      <c r="I136" s="5">
        <f t="shared" si="118"/>
        <v>37734052.252429582</v>
      </c>
      <c r="J136" s="5">
        <f t="shared" si="118"/>
        <v>12425506.523439357</v>
      </c>
      <c r="K136" s="5">
        <f t="shared" si="118"/>
        <v>3452413.0187358856</v>
      </c>
      <c r="L136" s="5">
        <f t="shared" si="118"/>
        <v>6657250.8985072616</v>
      </c>
      <c r="M136" s="5">
        <f t="shared" si="118"/>
        <v>3343524.1052385326</v>
      </c>
      <c r="N136" s="5">
        <f t="shared" si="118"/>
        <v>6864305.9789097998</v>
      </c>
      <c r="O136" s="5">
        <f t="shared" si="118"/>
        <v>26293571.883309271</v>
      </c>
      <c r="P136" s="5">
        <f t="shared" si="118"/>
        <v>27178957.948517088</v>
      </c>
      <c r="Q136" s="5">
        <f t="shared" si="118"/>
        <v>28152771.413120702</v>
      </c>
      <c r="R136" s="5">
        <f t="shared" si="118"/>
        <v>11710399.126046091</v>
      </c>
      <c r="S136" s="5">
        <f t="shared" si="118"/>
        <v>16362809.854529087</v>
      </c>
      <c r="T136" s="5">
        <f t="shared" si="118"/>
        <v>31925371.839045685</v>
      </c>
      <c r="U136" s="5">
        <f t="shared" si="118"/>
        <v>17221184.671832748</v>
      </c>
      <c r="V136" s="5">
        <f t="shared" si="118"/>
        <v>31024453.249939688</v>
      </c>
      <c r="W136" s="5">
        <f t="shared" si="118"/>
        <v>24259765.382019825</v>
      </c>
      <c r="X136" s="5">
        <f t="shared" si="118"/>
        <v>38434952.713628553</v>
      </c>
      <c r="Y136" s="5">
        <f t="shared" si="118"/>
        <v>15660635.170251198</v>
      </c>
      <c r="Z136" s="5">
        <f t="shared" si="118"/>
        <v>6615290.1746241981</v>
      </c>
      <c r="AA136" s="5">
        <f t="shared" si="118"/>
        <v>40786482.121704563</v>
      </c>
      <c r="AB136" s="5">
        <f t="shared" si="118"/>
        <v>4239752.9518265901</v>
      </c>
      <c r="AC136" s="5">
        <f t="shared" si="118"/>
        <v>28189502.337949827</v>
      </c>
      <c r="AD136" s="5">
        <f t="shared" si="118"/>
        <v>6643187.4246543106</v>
      </c>
      <c r="AE136" s="5">
        <f t="shared" si="118"/>
        <v>24860786.772838861</v>
      </c>
      <c r="AF136" s="5">
        <f t="shared" si="118"/>
        <v>9988005.8549091741</v>
      </c>
      <c r="AG136" s="5">
        <f t="shared" si="118"/>
        <v>21657603.253311187</v>
      </c>
      <c r="AH136" s="5">
        <f t="shared" si="118"/>
        <v>46688544.359107189</v>
      </c>
      <c r="AI136" s="5">
        <f t="shared" si="118"/>
        <v>14605875.453763215</v>
      </c>
      <c r="AJ136" s="5">
        <f t="shared" si="118"/>
        <v>13981137.664848685</v>
      </c>
      <c r="AK136" s="5">
        <f t="shared" si="118"/>
        <v>18886059.954445902</v>
      </c>
      <c r="AL136" s="5">
        <f t="shared" si="118"/>
        <v>13313356.46767729</v>
      </c>
      <c r="AM136" s="5">
        <f t="shared" si="118"/>
        <v>23688233.491806213</v>
      </c>
      <c r="AN136" s="5">
        <f t="shared" si="118"/>
        <v>3828568.563589951</v>
      </c>
      <c r="AO136" s="5">
        <f t="shared" si="118"/>
        <v>24742846.362623893</v>
      </c>
      <c r="AP136" s="5">
        <f t="shared" si="118"/>
        <v>13789968.201758021</v>
      </c>
      <c r="AQ136" s="5">
        <f t="shared" si="118"/>
        <v>16993028.72583409</v>
      </c>
      <c r="AR136" s="5">
        <f t="shared" si="118"/>
        <v>9463760.679410439</v>
      </c>
      <c r="AS136" s="5">
        <f t="shared" si="118"/>
        <v>7487167.5699176583</v>
      </c>
      <c r="AT136" s="5">
        <f t="shared" si="118"/>
        <v>6555477.4563458906</v>
      </c>
      <c r="AU136" s="5">
        <f t="shared" si="118"/>
        <v>9888533.2510885689</v>
      </c>
      <c r="AV136" s="5">
        <f t="shared" si="118"/>
        <v>7861685.8037294513</v>
      </c>
      <c r="AW136" s="5">
        <f t="shared" si="118"/>
        <v>13906979.997830287</v>
      </c>
      <c r="AX136" s="5">
        <f t="shared" si="118"/>
        <v>18357948.541285884</v>
      </c>
      <c r="AY136" s="5">
        <f t="shared" si="118"/>
        <v>20664687.267898541</v>
      </c>
      <c r="AZ136" s="5">
        <f t="shared" si="118"/>
        <v>14684571.530986402</v>
      </c>
      <c r="BA136" s="5">
        <f t="shared" si="118"/>
        <v>158529413.9972676</v>
      </c>
      <c r="BB136" s="5">
        <f t="shared" si="118"/>
        <v>29663340.058849737</v>
      </c>
      <c r="BC136" s="5">
        <f t="shared" si="118"/>
        <v>8274269.2905176664</v>
      </c>
      <c r="BD136" s="5">
        <f t="shared" si="118"/>
        <v>9190081.0880575106</v>
      </c>
      <c r="BE136" s="5">
        <f t="shared" si="118"/>
        <v>12827071.777301449</v>
      </c>
      <c r="BF136" s="5">
        <f t="shared" si="118"/>
        <v>21787644.962281071</v>
      </c>
      <c r="BG136" s="5">
        <f t="shared" si="118"/>
        <v>5162550.1489005629</v>
      </c>
      <c r="BH136" s="5">
        <f t="shared" ref="BH136" si="119">SUM(BH129:BH135)</f>
        <v>13250060.201224405</v>
      </c>
      <c r="BI136" s="5">
        <f t="shared" si="118"/>
        <v>13186600.493062656</v>
      </c>
      <c r="BJ136" s="5">
        <f t="shared" si="118"/>
        <v>3987339.9700793815</v>
      </c>
      <c r="BK136" s="5">
        <f t="shared" si="118"/>
        <v>6432933.2952438872</v>
      </c>
      <c r="BL136" s="5">
        <f t="shared" si="118"/>
        <v>26013005.600219272</v>
      </c>
      <c r="BM136" s="5">
        <f t="shared" si="118"/>
        <v>11452554.530406248</v>
      </c>
      <c r="BN136" s="5">
        <f t="shared" ref="BN136:BZ136" si="120">SUM(BN129:BN135)</f>
        <v>19612706.875321139</v>
      </c>
      <c r="BO136" s="5">
        <f t="shared" si="120"/>
        <v>39373251.384347633</v>
      </c>
      <c r="BP136" s="5">
        <f t="shared" si="120"/>
        <v>31088057.545879062</v>
      </c>
      <c r="BQ136" s="5">
        <f t="shared" si="120"/>
        <v>10491275.777860783</v>
      </c>
      <c r="BR136" s="5">
        <f t="shared" si="120"/>
        <v>90007840.723854378</v>
      </c>
      <c r="BS136" s="5">
        <f t="shared" si="120"/>
        <v>20703921.737096492</v>
      </c>
      <c r="BT136" s="5">
        <f t="shared" si="120"/>
        <v>17143642.317987487</v>
      </c>
      <c r="BU136" s="5">
        <f t="shared" si="120"/>
        <v>4446502.3478432028</v>
      </c>
      <c r="BV136" s="5">
        <f t="shared" si="120"/>
        <v>9315360.6197673772</v>
      </c>
      <c r="BW136" s="5">
        <f t="shared" si="120"/>
        <v>61643024.036953993</v>
      </c>
      <c r="BX136" s="5">
        <f t="shared" si="120"/>
        <v>6841763.0938193565</v>
      </c>
      <c r="BY136" s="5">
        <f t="shared" si="120"/>
        <v>10145919.025147272</v>
      </c>
      <c r="BZ136" s="5">
        <f t="shared" si="120"/>
        <v>33083008.606145713</v>
      </c>
    </row>
    <row r="137" spans="1:80" x14ac:dyDescent="0.2">
      <c r="B137" s="33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80" x14ac:dyDescent="0.2">
      <c r="B138" s="33" t="s">
        <v>80</v>
      </c>
      <c r="C138" s="51">
        <f>SUM(D138:BZ138)</f>
        <v>514504</v>
      </c>
      <c r="D138" s="49">
        <v>76213</v>
      </c>
      <c r="E138" s="49">
        <v>9747</v>
      </c>
      <c r="F138" s="49">
        <v>1389</v>
      </c>
      <c r="G138" s="49">
        <v>1224</v>
      </c>
      <c r="H138" s="49">
        <v>3676</v>
      </c>
      <c r="I138" s="49">
        <v>9476</v>
      </c>
      <c r="J138" s="49">
        <v>3549</v>
      </c>
      <c r="K138" s="49">
        <v>866</v>
      </c>
      <c r="L138" s="49">
        <v>1494</v>
      </c>
      <c r="M138" s="49">
        <v>1034</v>
      </c>
      <c r="N138" s="49">
        <v>2334</v>
      </c>
      <c r="O138" s="49">
        <v>7465</v>
      </c>
      <c r="P138" s="49">
        <v>9646</v>
      </c>
      <c r="Q138" s="49">
        <v>6722</v>
      </c>
      <c r="R138" s="49">
        <v>3404</v>
      </c>
      <c r="S138" s="49">
        <v>5991</v>
      </c>
      <c r="T138" s="49">
        <v>7984</v>
      </c>
      <c r="U138" s="49">
        <v>3928</v>
      </c>
      <c r="V138" s="49">
        <v>4942</v>
      </c>
      <c r="W138" s="49">
        <v>6479</v>
      </c>
      <c r="X138" s="49">
        <v>9932</v>
      </c>
      <c r="Y138" s="49">
        <v>4640</v>
      </c>
      <c r="Z138" s="49">
        <v>2139</v>
      </c>
      <c r="AA138" s="49">
        <v>11938</v>
      </c>
      <c r="AB138" s="49">
        <v>1554</v>
      </c>
      <c r="AC138" s="49">
        <v>8996</v>
      </c>
      <c r="AD138" s="49">
        <v>2445</v>
      </c>
      <c r="AE138" s="49">
        <v>5709</v>
      </c>
      <c r="AF138" s="49">
        <v>3587</v>
      </c>
      <c r="AG138" s="49">
        <v>7220</v>
      </c>
      <c r="AH138" s="49">
        <v>13053</v>
      </c>
      <c r="AI138" s="49">
        <v>5128</v>
      </c>
      <c r="AJ138" s="49">
        <v>5296</v>
      </c>
      <c r="AK138" s="49">
        <v>6213</v>
      </c>
      <c r="AL138" s="49">
        <v>4886</v>
      </c>
      <c r="AM138" s="49">
        <v>6467</v>
      </c>
      <c r="AN138" s="49">
        <v>1528</v>
      </c>
      <c r="AO138" s="49">
        <v>8716</v>
      </c>
      <c r="AP138" s="49">
        <v>4964</v>
      </c>
      <c r="AQ138" s="49">
        <v>5728</v>
      </c>
      <c r="AR138" s="49">
        <v>2988</v>
      </c>
      <c r="AS138" s="49">
        <v>1876</v>
      </c>
      <c r="AT138" s="49">
        <v>1753</v>
      </c>
      <c r="AU138" s="49">
        <v>3923</v>
      </c>
      <c r="AV138" s="49">
        <v>2994</v>
      </c>
      <c r="AW138" s="49">
        <v>4976</v>
      </c>
      <c r="AX138" s="49">
        <v>5316</v>
      </c>
      <c r="AY138" s="49">
        <v>6519</v>
      </c>
      <c r="AZ138" s="49">
        <v>3971</v>
      </c>
      <c r="BA138" s="49">
        <v>27483</v>
      </c>
      <c r="BB138" s="49">
        <v>9614</v>
      </c>
      <c r="BC138" s="49">
        <v>2624</v>
      </c>
      <c r="BD138" s="49">
        <v>3608</v>
      </c>
      <c r="BE138" s="49">
        <v>5007</v>
      </c>
      <c r="BF138" s="49">
        <v>8837</v>
      </c>
      <c r="BG138" s="49">
        <v>1879</v>
      </c>
      <c r="BH138" s="49">
        <v>6214</v>
      </c>
      <c r="BI138" s="49">
        <v>5041</v>
      </c>
      <c r="BJ138" s="49">
        <v>1614</v>
      </c>
      <c r="BK138" s="49">
        <v>2889</v>
      </c>
      <c r="BL138" s="49">
        <v>9241</v>
      </c>
      <c r="BM138" s="49">
        <v>3873</v>
      </c>
      <c r="BN138" s="49">
        <v>6491</v>
      </c>
      <c r="BO138" s="49">
        <v>13284</v>
      </c>
      <c r="BP138" s="49">
        <v>10510</v>
      </c>
      <c r="BQ138" s="49">
        <v>4099</v>
      </c>
      <c r="BR138" s="49">
        <v>24132</v>
      </c>
      <c r="BS138" s="49">
        <v>4786</v>
      </c>
      <c r="BT138" s="49">
        <v>4576</v>
      </c>
      <c r="BU138" s="49">
        <v>1507</v>
      </c>
      <c r="BV138" s="49">
        <v>3181</v>
      </c>
      <c r="BW138" s="49">
        <v>17990</v>
      </c>
      <c r="BX138" s="49">
        <v>2058</v>
      </c>
      <c r="BY138" s="49">
        <v>3559</v>
      </c>
      <c r="BZ138" s="49">
        <v>8389</v>
      </c>
      <c r="CB138" s="3" t="s">
        <v>110</v>
      </c>
    </row>
    <row r="139" spans="1:80" x14ac:dyDescent="0.2">
      <c r="B139" s="33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80" s="32" customFormat="1" x14ac:dyDescent="0.2">
      <c r="A140" s="21"/>
      <c r="B140" s="21" t="s">
        <v>104</v>
      </c>
      <c r="C140" s="153">
        <f>C136/C138</f>
        <v>3509.7325274591003</v>
      </c>
      <c r="D140" s="52">
        <f t="shared" ref="D140:BM140" si="121">D136/D138</f>
        <v>3873.8793259536401</v>
      </c>
      <c r="E140" s="52">
        <f t="shared" si="121"/>
        <v>2793.9296980889217</v>
      </c>
      <c r="F140" s="52">
        <f t="shared" si="121"/>
        <v>2907.1328861765173</v>
      </c>
      <c r="G140" s="52">
        <f t="shared" si="121"/>
        <v>2658.5238455048152</v>
      </c>
      <c r="H140" s="52">
        <f t="shared" si="121"/>
        <v>5789.6838778946521</v>
      </c>
      <c r="I140" s="52">
        <f t="shared" si="121"/>
        <v>3982.0654550896561</v>
      </c>
      <c r="J140" s="52">
        <f t="shared" si="121"/>
        <v>3501.1289161564828</v>
      </c>
      <c r="K140" s="52">
        <f t="shared" si="121"/>
        <v>3986.6201140137246</v>
      </c>
      <c r="L140" s="52">
        <f t="shared" si="121"/>
        <v>4455.9912305938833</v>
      </c>
      <c r="M140" s="52">
        <f t="shared" si="121"/>
        <v>3233.5823068070918</v>
      </c>
      <c r="N140" s="52">
        <f t="shared" si="121"/>
        <v>2941.0051323520993</v>
      </c>
      <c r="O140" s="52">
        <f t="shared" si="121"/>
        <v>3522.2467358753211</v>
      </c>
      <c r="P140" s="52">
        <f t="shared" si="121"/>
        <v>2817.640260057753</v>
      </c>
      <c r="Q140" s="52">
        <f t="shared" si="121"/>
        <v>4188.1540334901374</v>
      </c>
      <c r="R140" s="52">
        <f t="shared" si="121"/>
        <v>3440.1877573578413</v>
      </c>
      <c r="S140" s="52">
        <f t="shared" si="121"/>
        <v>2731.2318234900827</v>
      </c>
      <c r="T140" s="52">
        <f t="shared" si="121"/>
        <v>3998.6688175157419</v>
      </c>
      <c r="U140" s="52">
        <f t="shared" si="121"/>
        <v>4384.2119836641414</v>
      </c>
      <c r="V140" s="52">
        <f t="shared" si="121"/>
        <v>6277.7121104693824</v>
      </c>
      <c r="W140" s="52">
        <f t="shared" si="121"/>
        <v>3744.3687887050201</v>
      </c>
      <c r="X140" s="52">
        <f t="shared" si="121"/>
        <v>3869.8099792215621</v>
      </c>
      <c r="Y140" s="52">
        <f t="shared" si="121"/>
        <v>3375.1368901403443</v>
      </c>
      <c r="Z140" s="52">
        <f t="shared" si="121"/>
        <v>3092.7022789266939</v>
      </c>
      <c r="AA140" s="52">
        <f t="shared" si="121"/>
        <v>3416.5255588628384</v>
      </c>
      <c r="AB140" s="52">
        <f t="shared" si="121"/>
        <v>2728.2837527841634</v>
      </c>
      <c r="AC140" s="52">
        <f t="shared" si="121"/>
        <v>3133.5596196031379</v>
      </c>
      <c r="AD140" s="52">
        <f t="shared" si="121"/>
        <v>2717.0500714332557</v>
      </c>
      <c r="AE140" s="52">
        <f t="shared" si="121"/>
        <v>4354.6657510665373</v>
      </c>
      <c r="AF140" s="52">
        <f t="shared" si="121"/>
        <v>2784.501214081175</v>
      </c>
      <c r="AG140" s="52">
        <f t="shared" si="121"/>
        <v>2999.6680406248183</v>
      </c>
      <c r="AH140" s="52">
        <f t="shared" si="121"/>
        <v>3576.8439714324054</v>
      </c>
      <c r="AI140" s="52">
        <f t="shared" si="121"/>
        <v>2848.2596438695819</v>
      </c>
      <c r="AJ140" s="52">
        <f t="shared" si="121"/>
        <v>2639.9429125469574</v>
      </c>
      <c r="AK140" s="52">
        <f t="shared" si="121"/>
        <v>3039.7650015203449</v>
      </c>
      <c r="AL140" s="52">
        <f t="shared" si="121"/>
        <v>2724.7966573224089</v>
      </c>
      <c r="AM140" s="52">
        <f t="shared" si="121"/>
        <v>3662.9400791412113</v>
      </c>
      <c r="AN140" s="52">
        <f t="shared" si="121"/>
        <v>2505.6076986845228</v>
      </c>
      <c r="AO140" s="52">
        <f t="shared" si="121"/>
        <v>2838.7845757943887</v>
      </c>
      <c r="AP140" s="52">
        <f t="shared" si="121"/>
        <v>2777.9952058336062</v>
      </c>
      <c r="AQ140" s="52">
        <f t="shared" si="121"/>
        <v>2966.6600429179625</v>
      </c>
      <c r="AR140" s="52">
        <f t="shared" si="121"/>
        <v>3167.2559168040293</v>
      </c>
      <c r="AS140" s="52">
        <f t="shared" si="121"/>
        <v>3991.027489295127</v>
      </c>
      <c r="AT140" s="52">
        <f t="shared" si="121"/>
        <v>3739.576415485391</v>
      </c>
      <c r="AU140" s="52">
        <f t="shared" si="121"/>
        <v>2520.6559396096277</v>
      </c>
      <c r="AV140" s="52">
        <f t="shared" si="121"/>
        <v>2625.8135616998834</v>
      </c>
      <c r="AW140" s="52">
        <f t="shared" si="121"/>
        <v>2794.811092811553</v>
      </c>
      <c r="AX140" s="52">
        <f t="shared" si="121"/>
        <v>3453.3387022734919</v>
      </c>
      <c r="AY140" s="52">
        <f t="shared" si="121"/>
        <v>3169.9167461111429</v>
      </c>
      <c r="AZ140" s="52">
        <f t="shared" si="121"/>
        <v>3697.9530423032993</v>
      </c>
      <c r="BA140" s="52">
        <f t="shared" si="121"/>
        <v>5768.2718042887464</v>
      </c>
      <c r="BB140" s="52">
        <f t="shared" si="121"/>
        <v>3085.4316682806052</v>
      </c>
      <c r="BC140" s="52">
        <f t="shared" si="121"/>
        <v>3153.3038454716716</v>
      </c>
      <c r="BD140" s="52">
        <f t="shared" si="121"/>
        <v>2547.1399911467602</v>
      </c>
      <c r="BE140" s="52">
        <f t="shared" si="121"/>
        <v>2561.8277965451266</v>
      </c>
      <c r="BF140" s="52">
        <f t="shared" si="121"/>
        <v>2465.5024286840635</v>
      </c>
      <c r="BG140" s="52">
        <f t="shared" si="121"/>
        <v>2747.4987487496342</v>
      </c>
      <c r="BH140" s="52">
        <f t="shared" ref="BH140" si="122">BH136/BH138</f>
        <v>2132.2916319962028</v>
      </c>
      <c r="BI140" s="52">
        <f t="shared" si="121"/>
        <v>2615.8699649003484</v>
      </c>
      <c r="BJ140" s="52">
        <f t="shared" si="121"/>
        <v>2470.4708612635573</v>
      </c>
      <c r="BK140" s="52">
        <f t="shared" si="121"/>
        <v>2226.6989599321173</v>
      </c>
      <c r="BL140" s="52">
        <f t="shared" si="121"/>
        <v>2814.9556974590705</v>
      </c>
      <c r="BM140" s="52">
        <f t="shared" si="121"/>
        <v>2957.024149343209</v>
      </c>
      <c r="BN140" s="52">
        <f t="shared" ref="BN140:BZ140" si="123">BN136/BN138</f>
        <v>3021.5231667418175</v>
      </c>
      <c r="BO140" s="52">
        <f t="shared" si="123"/>
        <v>2963.9605077045794</v>
      </c>
      <c r="BP140" s="52">
        <f t="shared" si="123"/>
        <v>2957.950289807713</v>
      </c>
      <c r="BQ140" s="52">
        <f t="shared" si="123"/>
        <v>2559.4720121641335</v>
      </c>
      <c r="BR140" s="52">
        <f t="shared" si="123"/>
        <v>3729.8127268297026</v>
      </c>
      <c r="BS140" s="52">
        <f t="shared" si="123"/>
        <v>4325.9343370448169</v>
      </c>
      <c r="BT140" s="52">
        <f t="shared" si="123"/>
        <v>3746.4253317280345</v>
      </c>
      <c r="BU140" s="52">
        <f t="shared" si="123"/>
        <v>2950.56559246397</v>
      </c>
      <c r="BV140" s="52">
        <f t="shared" si="123"/>
        <v>2928.4377930736805</v>
      </c>
      <c r="BW140" s="52">
        <f t="shared" si="123"/>
        <v>3426.5160665344074</v>
      </c>
      <c r="BX140" s="52">
        <f t="shared" si="123"/>
        <v>3324.4718628859846</v>
      </c>
      <c r="BY140" s="52">
        <f t="shared" si="123"/>
        <v>2850.7780346016498</v>
      </c>
      <c r="BZ140" s="52">
        <f t="shared" si="123"/>
        <v>3943.617666723771</v>
      </c>
      <c r="CA140" s="21"/>
      <c r="CB140" s="21"/>
    </row>
    <row r="141" spans="1:80" x14ac:dyDescent="0.2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80" x14ac:dyDescent="0.2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80" s="32" customFormat="1" x14ac:dyDescent="0.2">
      <c r="A143" s="25" t="s">
        <v>159</v>
      </c>
      <c r="B143" s="27" t="s">
        <v>363</v>
      </c>
      <c r="C143" s="16">
        <f t="shared" ref="C143:AH143" si="124">AVERAGE(C126,C140)</f>
        <v>3461.2316590299547</v>
      </c>
      <c r="D143" s="16">
        <f t="shared" si="124"/>
        <v>3780.1057503396996</v>
      </c>
      <c r="E143" s="16">
        <f t="shared" si="124"/>
        <v>2784.5496904934134</v>
      </c>
      <c r="F143" s="16">
        <f t="shared" si="124"/>
        <v>2857.0106666137999</v>
      </c>
      <c r="G143" s="16">
        <f t="shared" si="124"/>
        <v>2564.2489679692503</v>
      </c>
      <c r="H143" s="16">
        <f t="shared" si="124"/>
        <v>6024.7662557548265</v>
      </c>
      <c r="I143" s="16">
        <f t="shared" si="124"/>
        <v>3890.9260165418063</v>
      </c>
      <c r="J143" s="16">
        <f t="shared" si="124"/>
        <v>3560.1807810735363</v>
      </c>
      <c r="K143" s="16">
        <f t="shared" si="124"/>
        <v>3827.2988435143834</v>
      </c>
      <c r="L143" s="16">
        <f t="shared" si="124"/>
        <v>4341.6818032811589</v>
      </c>
      <c r="M143" s="16">
        <f t="shared" si="124"/>
        <v>3172.6873476560586</v>
      </c>
      <c r="N143" s="16">
        <f t="shared" si="124"/>
        <v>2939.4940834687091</v>
      </c>
      <c r="O143" s="16">
        <f t="shared" si="124"/>
        <v>3541.9688224071415</v>
      </c>
      <c r="P143" s="16">
        <f t="shared" si="124"/>
        <v>2859.0996334510628</v>
      </c>
      <c r="Q143" s="16">
        <f t="shared" si="124"/>
        <v>4163.6573850944915</v>
      </c>
      <c r="R143" s="16">
        <f t="shared" si="124"/>
        <v>3083.234370680284</v>
      </c>
      <c r="S143" s="16">
        <f t="shared" si="124"/>
        <v>3021.0904418662017</v>
      </c>
      <c r="T143" s="16">
        <f t="shared" si="124"/>
        <v>3901.529181732094</v>
      </c>
      <c r="U143" s="16">
        <f t="shared" si="124"/>
        <v>4149.0616968967388</v>
      </c>
      <c r="V143" s="16">
        <f t="shared" si="124"/>
        <v>6008.241948697254</v>
      </c>
      <c r="W143" s="16">
        <f t="shared" si="124"/>
        <v>3672.4321541033614</v>
      </c>
      <c r="X143" s="16">
        <f t="shared" si="124"/>
        <v>3822.5254806658713</v>
      </c>
      <c r="Y143" s="16">
        <f t="shared" si="124"/>
        <v>3425.5616617444448</v>
      </c>
      <c r="Z143" s="16">
        <f t="shared" si="124"/>
        <v>2989.1354157684327</v>
      </c>
      <c r="AA143" s="16">
        <f t="shared" si="124"/>
        <v>3378.058089435146</v>
      </c>
      <c r="AB143" s="16">
        <f t="shared" si="124"/>
        <v>2801.6440737929684</v>
      </c>
      <c r="AC143" s="16">
        <f t="shared" si="124"/>
        <v>3093.2681725027974</v>
      </c>
      <c r="AD143" s="16">
        <f t="shared" si="124"/>
        <v>2827.391061043736</v>
      </c>
      <c r="AE143" s="16">
        <f t="shared" si="124"/>
        <v>4142.082446390752</v>
      </c>
      <c r="AF143" s="16">
        <f t="shared" si="124"/>
        <v>2829.5766556523185</v>
      </c>
      <c r="AG143" s="16">
        <f t="shared" si="124"/>
        <v>3004.3375630863525</v>
      </c>
      <c r="AH143" s="16">
        <f t="shared" si="124"/>
        <v>3282.0960714065841</v>
      </c>
      <c r="AI143" s="16">
        <f t="shared" ref="AI143:BL143" si="125">AVERAGE(AI126,AI140)</f>
        <v>2845.143618996126</v>
      </c>
      <c r="AJ143" s="16">
        <f t="shared" si="125"/>
        <v>2554.5554387752973</v>
      </c>
      <c r="AK143" s="16">
        <f t="shared" si="125"/>
        <v>2886.8687093281428</v>
      </c>
      <c r="AL143" s="16">
        <f t="shared" si="125"/>
        <v>2727.8654885179376</v>
      </c>
      <c r="AM143" s="16">
        <f t="shared" si="125"/>
        <v>3606.9773191506247</v>
      </c>
      <c r="AN143" s="16">
        <f t="shared" si="125"/>
        <v>2471.1215654113453</v>
      </c>
      <c r="AO143" s="16">
        <f t="shared" si="125"/>
        <v>2790.5870866795185</v>
      </c>
      <c r="AP143" s="16">
        <f t="shared" si="125"/>
        <v>2754.0635915207117</v>
      </c>
      <c r="AQ143" s="16">
        <f t="shared" si="125"/>
        <v>2963.1307144442317</v>
      </c>
      <c r="AR143" s="16">
        <f t="shared" si="125"/>
        <v>3233.4887953319576</v>
      </c>
      <c r="AS143" s="16">
        <f t="shared" si="125"/>
        <v>3915.7511077670997</v>
      </c>
      <c r="AT143" s="16">
        <f t="shared" si="125"/>
        <v>3680.5846539141889</v>
      </c>
      <c r="AU143" s="16">
        <f t="shared" si="125"/>
        <v>2475.0876185998959</v>
      </c>
      <c r="AV143" s="16">
        <f t="shared" si="125"/>
        <v>2659.1644574063521</v>
      </c>
      <c r="AW143" s="16">
        <f t="shared" si="125"/>
        <v>2750.5094879372041</v>
      </c>
      <c r="AX143" s="16">
        <f t="shared" si="125"/>
        <v>3554.268234266875</v>
      </c>
      <c r="AY143" s="16">
        <f t="shared" si="125"/>
        <v>3067.7316839553987</v>
      </c>
      <c r="AZ143" s="16">
        <f t="shared" si="125"/>
        <v>3621.018072714503</v>
      </c>
      <c r="BA143" s="16">
        <f t="shared" si="125"/>
        <v>5690.6845336986898</v>
      </c>
      <c r="BB143" s="16">
        <f t="shared" si="125"/>
        <v>3188.3607271172159</v>
      </c>
      <c r="BC143" s="16">
        <f t="shared" si="125"/>
        <v>3261.3819291253976</v>
      </c>
      <c r="BD143" s="16">
        <f t="shared" si="125"/>
        <v>2501.3889541733784</v>
      </c>
      <c r="BE143" s="16">
        <f t="shared" si="125"/>
        <v>2570.9528990897466</v>
      </c>
      <c r="BF143" s="16">
        <f t="shared" si="125"/>
        <v>2470.2410135450627</v>
      </c>
      <c r="BG143" s="16">
        <f t="shared" si="125"/>
        <v>2665.1558126161649</v>
      </c>
      <c r="BH143" s="16">
        <f t="shared" ref="BH143" si="126">AVERAGE(BH126,BH140)</f>
        <v>2218.0568471062661</v>
      </c>
      <c r="BI143" s="16">
        <f t="shared" si="125"/>
        <v>2662.777802792401</v>
      </c>
      <c r="BJ143" s="16">
        <f t="shared" si="125"/>
        <v>2516.6500301366441</v>
      </c>
      <c r="BK143" s="16">
        <f t="shared" si="125"/>
        <v>2197.7813056979439</v>
      </c>
      <c r="BL143" s="16">
        <f t="shared" si="125"/>
        <v>2866.4142589499997</v>
      </c>
      <c r="BM143" s="16">
        <f t="shared" ref="BM143:BZ143" si="127">AVERAGE(BM126,BM140)</f>
        <v>3047.3496171713532</v>
      </c>
      <c r="BN143" s="16">
        <f t="shared" si="127"/>
        <v>2995.8637572975858</v>
      </c>
      <c r="BO143" s="16">
        <f t="shared" si="127"/>
        <v>2883.8240647584989</v>
      </c>
      <c r="BP143" s="16">
        <f t="shared" si="127"/>
        <v>2763.0381645009315</v>
      </c>
      <c r="BQ143" s="16">
        <f t="shared" si="127"/>
        <v>2551.8901566292025</v>
      </c>
      <c r="BR143" s="16">
        <f t="shared" si="127"/>
        <v>3681.2268825560454</v>
      </c>
      <c r="BS143" s="16">
        <f t="shared" si="127"/>
        <v>4384.7126588232877</v>
      </c>
      <c r="BT143" s="16">
        <f t="shared" si="127"/>
        <v>3449.1784142217184</v>
      </c>
      <c r="BU143" s="16">
        <f t="shared" si="127"/>
        <v>2887.7199358294529</v>
      </c>
      <c r="BV143" s="16">
        <f t="shared" si="127"/>
        <v>2902.415400546457</v>
      </c>
      <c r="BW143" s="16">
        <f t="shared" si="127"/>
        <v>3398.5682619832614</v>
      </c>
      <c r="BX143" s="16">
        <f t="shared" si="127"/>
        <v>3312.4881144279739</v>
      </c>
      <c r="BY143" s="16">
        <f t="shared" si="127"/>
        <v>2859.1643973479077</v>
      </c>
      <c r="BZ143" s="16">
        <f t="shared" si="127"/>
        <v>3918.7633101709134</v>
      </c>
      <c r="CA143" s="27"/>
      <c r="CB143" s="27"/>
    </row>
    <row r="144" spans="1:80" s="6" customFormat="1" x14ac:dyDescent="0.2">
      <c r="A144" s="53"/>
      <c r="B144" s="53" t="s">
        <v>140</v>
      </c>
      <c r="C144" s="66">
        <v>1</v>
      </c>
      <c r="D144" s="66">
        <f>D143*$C144/$C143</f>
        <v>1.0921273473498485</v>
      </c>
      <c r="E144" s="66">
        <f t="shared" ref="E144:BN144" si="128">E143*$C144/$C143</f>
        <v>0.80449677016816945</v>
      </c>
      <c r="F144" s="66">
        <f t="shared" si="128"/>
        <v>0.82543179655721344</v>
      </c>
      <c r="G144" s="66">
        <f t="shared" si="128"/>
        <v>0.74084869797126118</v>
      </c>
      <c r="H144" s="66">
        <f t="shared" si="128"/>
        <v>1.7406423057632983</v>
      </c>
      <c r="I144" s="66">
        <f t="shared" si="128"/>
        <v>1.1241449286963583</v>
      </c>
      <c r="J144" s="66">
        <f t="shared" si="128"/>
        <v>1.028587835716062</v>
      </c>
      <c r="K144" s="66">
        <f t="shared" si="128"/>
        <v>1.1057621160748954</v>
      </c>
      <c r="L144" s="66">
        <f t="shared" si="128"/>
        <v>1.2543748096011462</v>
      </c>
      <c r="M144" s="66">
        <f t="shared" si="128"/>
        <v>0.91663536573141036</v>
      </c>
      <c r="N144" s="66">
        <f t="shared" si="128"/>
        <v>0.84926245135887035</v>
      </c>
      <c r="O144" s="66">
        <f t="shared" si="128"/>
        <v>1.0233261368584079</v>
      </c>
      <c r="P144" s="66">
        <f t="shared" si="128"/>
        <v>0.82603532935797619</v>
      </c>
      <c r="Q144" s="66">
        <f t="shared" si="128"/>
        <v>1.2029409745608877</v>
      </c>
      <c r="R144" s="66">
        <f t="shared" si="128"/>
        <v>0.89079110398071182</v>
      </c>
      <c r="S144" s="66">
        <f t="shared" si="128"/>
        <v>0.87283682211345914</v>
      </c>
      <c r="T144" s="66">
        <f t="shared" si="128"/>
        <v>1.1272083368223718</v>
      </c>
      <c r="U144" s="66">
        <f t="shared" si="128"/>
        <v>1.1987240686627589</v>
      </c>
      <c r="V144" s="66">
        <f t="shared" si="128"/>
        <v>1.7358681939194802</v>
      </c>
      <c r="W144" s="66">
        <f t="shared" si="128"/>
        <v>1.061018884570297</v>
      </c>
      <c r="X144" s="66">
        <f t="shared" si="128"/>
        <v>1.104383022353717</v>
      </c>
      <c r="Y144" s="66">
        <f t="shared" si="128"/>
        <v>0.98969442071510849</v>
      </c>
      <c r="Z144" s="66">
        <f t="shared" si="128"/>
        <v>0.8636045518565979</v>
      </c>
      <c r="AA144" s="66">
        <f t="shared" si="128"/>
        <v>0.9759699500673934</v>
      </c>
      <c r="AB144" s="66">
        <f t="shared" si="128"/>
        <v>0.8094355853020706</v>
      </c>
      <c r="AC144" s="66">
        <f t="shared" si="128"/>
        <v>0.89369001477633458</v>
      </c>
      <c r="AD144" s="66">
        <f t="shared" si="128"/>
        <v>0.81687426314485434</v>
      </c>
      <c r="AE144" s="66">
        <f t="shared" si="128"/>
        <v>1.1967076620209849</v>
      </c>
      <c r="AF144" s="66">
        <f t="shared" si="128"/>
        <v>0.81750571310945885</v>
      </c>
      <c r="AG144" s="66">
        <f t="shared" si="128"/>
        <v>0.86799667258572011</v>
      </c>
      <c r="AH144" s="66">
        <f t="shared" si="128"/>
        <v>0.94824513200206451</v>
      </c>
      <c r="AI144" s="66">
        <f t="shared" si="128"/>
        <v>0.82200323447680079</v>
      </c>
      <c r="AJ144" s="66">
        <f t="shared" si="128"/>
        <v>0.73804809687059125</v>
      </c>
      <c r="AK144" s="66">
        <f t="shared" si="128"/>
        <v>0.83405821791691837</v>
      </c>
      <c r="AL144" s="66">
        <f t="shared" si="128"/>
        <v>0.78811988252830489</v>
      </c>
      <c r="AM144" s="66">
        <f t="shared" si="128"/>
        <v>1.0421080339249864</v>
      </c>
      <c r="AN144" s="66">
        <f t="shared" si="128"/>
        <v>0.71394284140573883</v>
      </c>
      <c r="AO144" s="66">
        <f t="shared" si="128"/>
        <v>0.80624106144389329</v>
      </c>
      <c r="AP144" s="66">
        <f t="shared" si="128"/>
        <v>0.79568889425117706</v>
      </c>
      <c r="AQ144" s="66">
        <f t="shared" si="128"/>
        <v>0.8560914166821989</v>
      </c>
      <c r="AR144" s="66">
        <f t="shared" si="128"/>
        <v>0.93420178533735465</v>
      </c>
      <c r="AS144" s="66">
        <f t="shared" si="128"/>
        <v>1.1313172574136596</v>
      </c>
      <c r="AT144" s="66">
        <f t="shared" si="128"/>
        <v>1.0633742599435572</v>
      </c>
      <c r="AU144" s="66">
        <f t="shared" si="128"/>
        <v>0.71508869166346534</v>
      </c>
      <c r="AV144" s="66">
        <f t="shared" si="128"/>
        <v>0.76827115875613183</v>
      </c>
      <c r="AW144" s="66">
        <f t="shared" si="128"/>
        <v>0.79466206220593227</v>
      </c>
      <c r="AX144" s="66">
        <f t="shared" si="128"/>
        <v>1.026879615235865</v>
      </c>
      <c r="AY144" s="66">
        <f t="shared" si="128"/>
        <v>0.88631215306032463</v>
      </c>
      <c r="AZ144" s="66">
        <f t="shared" si="128"/>
        <v>1.0461646111631056</v>
      </c>
      <c r="BA144" s="66">
        <f t="shared" si="128"/>
        <v>1.6441212534423546</v>
      </c>
      <c r="BB144" s="66">
        <f t="shared" si="128"/>
        <v>0.92116363225765319</v>
      </c>
      <c r="BC144" s="66">
        <f t="shared" si="128"/>
        <v>0.94226051602666583</v>
      </c>
      <c r="BD144" s="66">
        <f t="shared" si="128"/>
        <v>0.72268752877246534</v>
      </c>
      <c r="BE144" s="66">
        <f t="shared" si="128"/>
        <v>0.74278556085156178</v>
      </c>
      <c r="BF144" s="66">
        <f t="shared" si="128"/>
        <v>0.71368843720716824</v>
      </c>
      <c r="BG144" s="66">
        <f t="shared" si="128"/>
        <v>0.770002148126399</v>
      </c>
      <c r="BH144" s="66">
        <f t="shared" ref="BH144" si="129">BH143*$C144/$C143</f>
        <v>0.64082877588375553</v>
      </c>
      <c r="BI144" s="66">
        <f t="shared" si="128"/>
        <v>0.76931510661689473</v>
      </c>
      <c r="BJ144" s="66">
        <f t="shared" si="128"/>
        <v>0.72709667484145246</v>
      </c>
      <c r="BK144" s="66">
        <f t="shared" si="128"/>
        <v>0.63497087805844654</v>
      </c>
      <c r="BL144" s="66">
        <f t="shared" si="128"/>
        <v>0.82814863069677958</v>
      </c>
      <c r="BM144" s="66">
        <f t="shared" si="128"/>
        <v>0.88042347850978686</v>
      </c>
      <c r="BN144" s="66">
        <f t="shared" si="128"/>
        <v>0.86554846725781054</v>
      </c>
      <c r="BO144" s="66">
        <f t="shared" ref="BO144:BZ144" si="130">BO143*$C144/$C143</f>
        <v>0.83317857596585143</v>
      </c>
      <c r="BP144" s="66">
        <f t="shared" si="130"/>
        <v>0.79828177847977422</v>
      </c>
      <c r="BQ144" s="66">
        <f t="shared" si="130"/>
        <v>0.73727805822289161</v>
      </c>
      <c r="BR144" s="66">
        <f t="shared" si="130"/>
        <v>1.0635598091078788</v>
      </c>
      <c r="BS144" s="66">
        <f t="shared" si="130"/>
        <v>1.2668070475387214</v>
      </c>
      <c r="BT144" s="66">
        <f t="shared" si="130"/>
        <v>0.99651764285213595</v>
      </c>
      <c r="BU144" s="66">
        <f t="shared" si="130"/>
        <v>0.83430414959245047</v>
      </c>
      <c r="BV144" s="66">
        <f t="shared" si="130"/>
        <v>0.83854988237334227</v>
      </c>
      <c r="BW144" s="66">
        <f t="shared" si="130"/>
        <v>0.98189563623018072</v>
      </c>
      <c r="BX144" s="66">
        <f t="shared" si="130"/>
        <v>0.95702583379129624</v>
      </c>
      <c r="BY144" s="66">
        <f t="shared" si="130"/>
        <v>0.82605404058658627</v>
      </c>
      <c r="BZ144" s="66">
        <f t="shared" si="130"/>
        <v>1.1321875263527397</v>
      </c>
      <c r="CA144" s="53"/>
      <c r="CB144" s="53"/>
    </row>
    <row r="145" spans="1:80" s="6" customFormat="1" x14ac:dyDescent="0.2">
      <c r="A145" s="53"/>
      <c r="B145" s="53"/>
      <c r="CA145" s="53"/>
      <c r="CB145" s="53"/>
    </row>
    <row r="146" spans="1:80" x14ac:dyDescent="0.2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80" s="57" customFormat="1" ht="15.75" x14ac:dyDescent="0.25">
      <c r="A147" s="22" t="s">
        <v>101</v>
      </c>
      <c r="B147" s="22" t="s">
        <v>100</v>
      </c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22"/>
      <c r="CB147" s="22"/>
    </row>
    <row r="148" spans="1:80" x14ac:dyDescent="0.2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80" x14ac:dyDescent="0.2">
      <c r="B149" s="3" t="s">
        <v>102</v>
      </c>
      <c r="C149" s="10">
        <v>0.96</v>
      </c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B149" s="3" t="s">
        <v>111</v>
      </c>
    </row>
    <row r="150" spans="1:80" x14ac:dyDescent="0.2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80" s="32" customFormat="1" x14ac:dyDescent="0.2">
      <c r="B151" s="147" t="s">
        <v>103</v>
      </c>
      <c r="C151" s="148">
        <f>SUM(D151:BZ151)</f>
        <v>115049300</v>
      </c>
      <c r="D151" s="148">
        <f>ROUND(IF(D143&lt;$C143*$C149,($C143*$C149-D143)*D138,0),-2)</f>
        <v>0</v>
      </c>
      <c r="E151" s="148">
        <f>ROUND(IF(E143&lt;$C143*$C149,($C143*$C149-E143)*E138,0),-2)</f>
        <v>5246200</v>
      </c>
      <c r="F151" s="148">
        <f t="shared" ref="F151:BO151" si="131">ROUND(IF(F143&lt;$C143*$C149,($C143*$C149-F143)*F138,0),-2)</f>
        <v>647000</v>
      </c>
      <c r="G151" s="148">
        <f t="shared" si="131"/>
        <v>928400</v>
      </c>
      <c r="H151" s="148">
        <f t="shared" si="131"/>
        <v>0</v>
      </c>
      <c r="I151" s="148">
        <f t="shared" si="131"/>
        <v>0</v>
      </c>
      <c r="J151" s="148">
        <f t="shared" si="131"/>
        <v>0</v>
      </c>
      <c r="K151" s="148">
        <f t="shared" si="131"/>
        <v>0</v>
      </c>
      <c r="L151" s="148">
        <f t="shared" si="131"/>
        <v>0</v>
      </c>
      <c r="M151" s="148">
        <f t="shared" si="131"/>
        <v>155200</v>
      </c>
      <c r="N151" s="148">
        <f t="shared" si="131"/>
        <v>894600</v>
      </c>
      <c r="O151" s="148">
        <f t="shared" si="131"/>
        <v>0</v>
      </c>
      <c r="P151" s="148">
        <f t="shared" si="131"/>
        <v>4472700</v>
      </c>
      <c r="Q151" s="148">
        <f t="shared" si="131"/>
        <v>0</v>
      </c>
      <c r="R151" s="148">
        <f t="shared" si="131"/>
        <v>815400</v>
      </c>
      <c r="S151" s="148">
        <f t="shared" si="131"/>
        <v>1807400</v>
      </c>
      <c r="T151" s="148">
        <f t="shared" si="131"/>
        <v>0</v>
      </c>
      <c r="U151" s="148">
        <f t="shared" si="131"/>
        <v>0</v>
      </c>
      <c r="V151" s="148">
        <f t="shared" si="131"/>
        <v>0</v>
      </c>
      <c r="W151" s="148">
        <f t="shared" si="131"/>
        <v>0</v>
      </c>
      <c r="X151" s="148">
        <f t="shared" si="131"/>
        <v>0</v>
      </c>
      <c r="Y151" s="148">
        <f t="shared" si="131"/>
        <v>0</v>
      </c>
      <c r="Z151" s="148">
        <f t="shared" si="131"/>
        <v>713700</v>
      </c>
      <c r="AA151" s="148">
        <f t="shared" si="131"/>
        <v>0</v>
      </c>
      <c r="AB151" s="148">
        <f t="shared" si="131"/>
        <v>809800</v>
      </c>
      <c r="AC151" s="148">
        <f t="shared" si="131"/>
        <v>2064700</v>
      </c>
      <c r="AD151" s="148">
        <f t="shared" si="131"/>
        <v>1211200</v>
      </c>
      <c r="AE151" s="148">
        <f t="shared" si="131"/>
        <v>0</v>
      </c>
      <c r="AF151" s="148">
        <f t="shared" si="131"/>
        <v>1769100</v>
      </c>
      <c r="AG151" s="148">
        <f t="shared" si="131"/>
        <v>2299200</v>
      </c>
      <c r="AH151" s="148">
        <f t="shared" si="131"/>
        <v>531100</v>
      </c>
      <c r="AI151" s="148">
        <f t="shared" si="131"/>
        <v>2449300</v>
      </c>
      <c r="AJ151" s="148">
        <f t="shared" si="131"/>
        <v>4068500</v>
      </c>
      <c r="AK151" s="148">
        <f t="shared" si="131"/>
        <v>2708300</v>
      </c>
      <c r="AL151" s="148">
        <f t="shared" si="131"/>
        <v>2906800</v>
      </c>
      <c r="AM151" s="148">
        <f t="shared" si="131"/>
        <v>0</v>
      </c>
      <c r="AN151" s="148">
        <f t="shared" si="131"/>
        <v>1301300</v>
      </c>
      <c r="AO151" s="148">
        <f t="shared" si="131"/>
        <v>4638600</v>
      </c>
      <c r="AP151" s="148">
        <f t="shared" si="131"/>
        <v>2823100</v>
      </c>
      <c r="AQ151" s="148">
        <f t="shared" si="131"/>
        <v>2060100</v>
      </c>
      <c r="AR151" s="148">
        <f t="shared" si="131"/>
        <v>266800</v>
      </c>
      <c r="AS151" s="148">
        <f t="shared" si="131"/>
        <v>0</v>
      </c>
      <c r="AT151" s="148">
        <f t="shared" si="131"/>
        <v>0</v>
      </c>
      <c r="AU151" s="148">
        <f t="shared" si="131"/>
        <v>3325500</v>
      </c>
      <c r="AV151" s="148">
        <f t="shared" si="131"/>
        <v>1986900</v>
      </c>
      <c r="AW151" s="148">
        <f t="shared" si="131"/>
        <v>2847600</v>
      </c>
      <c r="AX151" s="148">
        <f t="shared" si="131"/>
        <v>0</v>
      </c>
      <c r="AY151" s="148">
        <f t="shared" si="131"/>
        <v>1662700</v>
      </c>
      <c r="AZ151" s="148">
        <f t="shared" si="131"/>
        <v>0</v>
      </c>
      <c r="BA151" s="148">
        <f t="shared" si="131"/>
        <v>0</v>
      </c>
      <c r="BB151" s="148">
        <f t="shared" si="131"/>
        <v>1292300</v>
      </c>
      <c r="BC151" s="148">
        <f t="shared" si="131"/>
        <v>161100</v>
      </c>
      <c r="BD151" s="148">
        <f t="shared" si="131"/>
        <v>2963600</v>
      </c>
      <c r="BE151" s="148">
        <f t="shared" si="131"/>
        <v>3764400</v>
      </c>
      <c r="BF151" s="148">
        <f t="shared" si="131"/>
        <v>7533900</v>
      </c>
      <c r="BG151" s="148">
        <f t="shared" si="131"/>
        <v>1235700</v>
      </c>
      <c r="BH151" s="148">
        <f t="shared" si="131"/>
        <v>6864800</v>
      </c>
      <c r="BI151" s="148">
        <f t="shared" si="131"/>
        <v>3327100</v>
      </c>
      <c r="BJ151" s="148">
        <f t="shared" si="131"/>
        <v>1301100</v>
      </c>
      <c r="BK151" s="148">
        <f t="shared" si="131"/>
        <v>3250100</v>
      </c>
      <c r="BL151" s="148">
        <f t="shared" si="131"/>
        <v>4217300</v>
      </c>
      <c r="BM151" s="148">
        <f t="shared" si="131"/>
        <v>1066800</v>
      </c>
      <c r="BN151" s="148">
        <f t="shared" si="131"/>
        <v>2122000</v>
      </c>
      <c r="BO151" s="148">
        <f t="shared" si="131"/>
        <v>5831100</v>
      </c>
      <c r="BP151" s="148">
        <f t="shared" ref="BP151:BZ151" si="132">ROUND(IF(BP143&lt;$C143*$C149,($C143*$C149-BP143)*BP138,0),-2)</f>
        <v>5882900</v>
      </c>
      <c r="BQ151" s="148">
        <f t="shared" si="132"/>
        <v>3159900</v>
      </c>
      <c r="BR151" s="148">
        <f t="shared" si="132"/>
        <v>0</v>
      </c>
      <c r="BS151" s="148">
        <f t="shared" si="132"/>
        <v>0</v>
      </c>
      <c r="BT151" s="148">
        <f t="shared" si="132"/>
        <v>0</v>
      </c>
      <c r="BU151" s="148">
        <f t="shared" si="132"/>
        <v>655600</v>
      </c>
      <c r="BV151" s="148">
        <f t="shared" si="132"/>
        <v>1337200</v>
      </c>
      <c r="BW151" s="148">
        <f t="shared" si="132"/>
        <v>0</v>
      </c>
      <c r="BX151" s="148">
        <f t="shared" si="132"/>
        <v>21200</v>
      </c>
      <c r="BY151" s="148">
        <f t="shared" si="132"/>
        <v>1650000</v>
      </c>
      <c r="BZ151" s="148">
        <f t="shared" si="132"/>
        <v>0</v>
      </c>
    </row>
    <row r="152" spans="1:80" x14ac:dyDescent="0.2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80" x14ac:dyDescent="0.2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80" x14ac:dyDescent="0.2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80" x14ac:dyDescent="0.2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80" x14ac:dyDescent="0.2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80" x14ac:dyDescent="0.2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80" x14ac:dyDescent="0.2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80" x14ac:dyDescent="0.2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80" x14ac:dyDescent="0.2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3:78" x14ac:dyDescent="0.2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3:78" x14ac:dyDescent="0.2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3:78" x14ac:dyDescent="0.2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3:78" x14ac:dyDescent="0.2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3:78" x14ac:dyDescent="0.2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3:78" x14ac:dyDescent="0.2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3:78" x14ac:dyDescent="0.2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3:78" x14ac:dyDescent="0.2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3:78" x14ac:dyDescent="0.2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3:78" x14ac:dyDescent="0.2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3:78" x14ac:dyDescent="0.2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3:78" x14ac:dyDescent="0.2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3:78" x14ac:dyDescent="0.2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3:78" x14ac:dyDescent="0.2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3:78" x14ac:dyDescent="0.2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3:78" x14ac:dyDescent="0.2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</sheetData>
  <pageMargins left="0.7" right="0.7" top="0.78740157499999996" bottom="0.78740157499999996" header="0.3" footer="0.3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CB102"/>
  <sheetViews>
    <sheetView zoomScale="90" zoomScaleNormal="90" workbookViewId="0">
      <pane xSplit="3" ySplit="9" topLeftCell="BR13" activePane="bottomRight" state="frozen"/>
      <selection activeCell="B7" sqref="B7:E7"/>
      <selection pane="topRight" activeCell="B7" sqref="B7:E7"/>
      <selection pane="bottomLeft" activeCell="B7" sqref="B7:E7"/>
      <selection pane="bottomRight" activeCell="B7" sqref="B7:E7"/>
    </sheetView>
  </sheetViews>
  <sheetFormatPr baseColWidth="10" defaultRowHeight="12.75" x14ac:dyDescent="0.2"/>
  <cols>
    <col min="1" max="1" width="4" style="3" customWidth="1"/>
    <col min="2" max="2" width="52.42578125" style="3" customWidth="1"/>
    <col min="3" max="78" width="21" style="3" customWidth="1"/>
    <col min="79" max="79" width="2.140625" style="3" customWidth="1"/>
    <col min="80" max="80" width="20.7109375" style="3" bestFit="1" customWidth="1"/>
    <col min="81" max="16384" width="11.42578125" style="38"/>
  </cols>
  <sheetData>
    <row r="1" spans="1:80" x14ac:dyDescent="0.2">
      <c r="A1" s="82" t="s">
        <v>194</v>
      </c>
      <c r="B1"/>
      <c r="C1"/>
    </row>
    <row r="2" spans="1:80" x14ac:dyDescent="0.2">
      <c r="A2" t="s">
        <v>195</v>
      </c>
      <c r="B2"/>
      <c r="C2"/>
    </row>
    <row r="3" spans="1:80" x14ac:dyDescent="0.2">
      <c r="A3"/>
      <c r="B3"/>
      <c r="C3"/>
    </row>
    <row r="4" spans="1:80" x14ac:dyDescent="0.2">
      <c r="A4"/>
      <c r="B4"/>
      <c r="C4"/>
    </row>
    <row r="5" spans="1:80" ht="26.25" x14ac:dyDescent="0.4">
      <c r="A5" s="18" t="s">
        <v>365</v>
      </c>
      <c r="D5" s="185" t="s">
        <v>382</v>
      </c>
      <c r="E5" s="185"/>
    </row>
    <row r="6" spans="1:80" x14ac:dyDescent="0.2"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</row>
    <row r="7" spans="1:80" x14ac:dyDescent="0.2">
      <c r="B7" s="20" t="s">
        <v>105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</row>
    <row r="8" spans="1:80" s="32" customFormat="1" x14ac:dyDescent="0.2">
      <c r="A8" s="21"/>
      <c r="B8" s="21"/>
      <c r="C8" s="21" t="s">
        <v>79</v>
      </c>
      <c r="D8" s="21" t="s">
        <v>5</v>
      </c>
      <c r="E8" s="21" t="s">
        <v>6</v>
      </c>
      <c r="F8" s="21" t="s">
        <v>7</v>
      </c>
      <c r="G8" s="21" t="s">
        <v>8</v>
      </c>
      <c r="H8" s="21" t="s">
        <v>9</v>
      </c>
      <c r="I8" s="21" t="s">
        <v>10</v>
      </c>
      <c r="J8" s="21" t="s">
        <v>11</v>
      </c>
      <c r="K8" s="21" t="s">
        <v>12</v>
      </c>
      <c r="L8" s="21" t="s">
        <v>13</v>
      </c>
      <c r="M8" s="21" t="s">
        <v>14</v>
      </c>
      <c r="N8" s="21" t="s">
        <v>15</v>
      </c>
      <c r="O8" s="21" t="s">
        <v>16</v>
      </c>
      <c r="P8" s="21" t="s">
        <v>17</v>
      </c>
      <c r="Q8" s="21" t="s">
        <v>18</v>
      </c>
      <c r="R8" s="21" t="s">
        <v>19</v>
      </c>
      <c r="S8" s="21" t="s">
        <v>20</v>
      </c>
      <c r="T8" s="21" t="s">
        <v>21</v>
      </c>
      <c r="U8" s="21" t="s">
        <v>22</v>
      </c>
      <c r="V8" s="21" t="s">
        <v>23</v>
      </c>
      <c r="W8" s="21" t="s">
        <v>24</v>
      </c>
      <c r="X8" s="21" t="s">
        <v>25</v>
      </c>
      <c r="Y8" s="21" t="s">
        <v>26</v>
      </c>
      <c r="Z8" s="21" t="s">
        <v>27</v>
      </c>
      <c r="AA8" s="21" t="s">
        <v>28</v>
      </c>
      <c r="AB8" s="21" t="s">
        <v>29</v>
      </c>
      <c r="AC8" s="21" t="s">
        <v>30</v>
      </c>
      <c r="AD8" s="21" t="s">
        <v>31</v>
      </c>
      <c r="AE8" s="21" t="s">
        <v>32</v>
      </c>
      <c r="AF8" s="21" t="s">
        <v>33</v>
      </c>
      <c r="AG8" s="21" t="s">
        <v>34</v>
      </c>
      <c r="AH8" s="21" t="s">
        <v>35</v>
      </c>
      <c r="AI8" s="21" t="s">
        <v>36</v>
      </c>
      <c r="AJ8" s="21" t="s">
        <v>37</v>
      </c>
      <c r="AK8" s="21" t="s">
        <v>38</v>
      </c>
      <c r="AL8" s="21" t="s">
        <v>39</v>
      </c>
      <c r="AM8" s="21" t="s">
        <v>40</v>
      </c>
      <c r="AN8" s="21" t="s">
        <v>41</v>
      </c>
      <c r="AO8" s="21" t="s">
        <v>42</v>
      </c>
      <c r="AP8" s="21" t="s">
        <v>43</v>
      </c>
      <c r="AQ8" s="21" t="s">
        <v>44</v>
      </c>
      <c r="AR8" s="21" t="s">
        <v>45</v>
      </c>
      <c r="AS8" s="21" t="s">
        <v>46</v>
      </c>
      <c r="AT8" s="21" t="s">
        <v>47</v>
      </c>
      <c r="AU8" s="21" t="s">
        <v>48</v>
      </c>
      <c r="AV8" s="21" t="s">
        <v>49</v>
      </c>
      <c r="AW8" s="21" t="s">
        <v>50</v>
      </c>
      <c r="AX8" s="21" t="s">
        <v>51</v>
      </c>
      <c r="AY8" s="21" t="s">
        <v>52</v>
      </c>
      <c r="AZ8" s="21" t="s">
        <v>53</v>
      </c>
      <c r="BA8" s="21" t="s">
        <v>54</v>
      </c>
      <c r="BB8" s="21" t="s">
        <v>55</v>
      </c>
      <c r="BC8" s="21" t="s">
        <v>56</v>
      </c>
      <c r="BD8" s="21" t="s">
        <v>57</v>
      </c>
      <c r="BE8" s="21" t="s">
        <v>58</v>
      </c>
      <c r="BF8" s="21" t="s">
        <v>59</v>
      </c>
      <c r="BG8" s="21" t="s">
        <v>60</v>
      </c>
      <c r="BH8" s="183" t="s">
        <v>381</v>
      </c>
      <c r="BI8" s="21" t="s">
        <v>61</v>
      </c>
      <c r="BJ8" s="21" t="s">
        <v>62</v>
      </c>
      <c r="BK8" s="21" t="s">
        <v>63</v>
      </c>
      <c r="BL8" s="21" t="s">
        <v>64</v>
      </c>
      <c r="BM8" s="21" t="s">
        <v>65</v>
      </c>
      <c r="BN8" s="21" t="s">
        <v>66</v>
      </c>
      <c r="BO8" s="21" t="s">
        <v>67</v>
      </c>
      <c r="BP8" s="21" t="s">
        <v>68</v>
      </c>
      <c r="BQ8" s="21" t="s">
        <v>69</v>
      </c>
      <c r="BR8" s="21" t="s">
        <v>70</v>
      </c>
      <c r="BS8" s="21" t="s">
        <v>71</v>
      </c>
      <c r="BT8" s="21" t="s">
        <v>72</v>
      </c>
      <c r="BU8" s="21" t="s">
        <v>73</v>
      </c>
      <c r="BV8" s="21" t="s">
        <v>74</v>
      </c>
      <c r="BW8" s="21" t="s">
        <v>75</v>
      </c>
      <c r="BX8" s="21" t="s">
        <v>76</v>
      </c>
      <c r="BY8" s="21" t="s">
        <v>77</v>
      </c>
      <c r="BZ8" s="21" t="s">
        <v>78</v>
      </c>
      <c r="CA8" s="21"/>
      <c r="CB8" s="21" t="s">
        <v>106</v>
      </c>
    </row>
    <row r="10" spans="1:80" s="56" customFormat="1" ht="15.75" x14ac:dyDescent="0.25">
      <c r="A10" s="22" t="s">
        <v>97</v>
      </c>
      <c r="B10" s="23" t="s">
        <v>117</v>
      </c>
      <c r="C10" s="2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</row>
    <row r="11" spans="1:80" x14ac:dyDescent="0.2">
      <c r="B11" s="24"/>
      <c r="C11" s="24"/>
    </row>
    <row r="12" spans="1:80" x14ac:dyDescent="0.2">
      <c r="A12" s="38"/>
      <c r="B12" s="59" t="str">
        <f>'Ressourcenausgleich Basis'!B124</f>
        <v>Einwohnerzahl per 31.12.</v>
      </c>
      <c r="C12" s="60">
        <f>'Ressourcenausgleich Basis'!C124</f>
        <v>519245</v>
      </c>
      <c r="D12" s="60">
        <f>'Ressourcenausgleich Basis'!D124</f>
        <v>76328</v>
      </c>
      <c r="E12" s="60">
        <f>'Ressourcenausgleich Basis'!E124</f>
        <v>9847</v>
      </c>
      <c r="F12" s="60">
        <f>'Ressourcenausgleich Basis'!F124</f>
        <v>1376</v>
      </c>
      <c r="G12" s="60">
        <f>'Ressourcenausgleich Basis'!G124</f>
        <v>1242</v>
      </c>
      <c r="H12" s="60">
        <f>'Ressourcenausgleich Basis'!H124</f>
        <v>3638</v>
      </c>
      <c r="I12" s="60">
        <f>'Ressourcenausgleich Basis'!I124</f>
        <v>9521</v>
      </c>
      <c r="J12" s="60">
        <f>'Ressourcenausgleich Basis'!J124</f>
        <v>3559</v>
      </c>
      <c r="K12" s="60">
        <f>'Ressourcenausgleich Basis'!K124</f>
        <v>905</v>
      </c>
      <c r="L12" s="60">
        <f>'Ressourcenausgleich Basis'!L124</f>
        <v>1585</v>
      </c>
      <c r="M12" s="60">
        <f>'Ressourcenausgleich Basis'!M124</f>
        <v>1032</v>
      </c>
      <c r="N12" s="60">
        <f>'Ressourcenausgleich Basis'!N124</f>
        <v>2341</v>
      </c>
      <c r="O12" s="60">
        <f>'Ressourcenausgleich Basis'!O124</f>
        <v>7592</v>
      </c>
      <c r="P12" s="60">
        <f>'Ressourcenausgleich Basis'!P124</f>
        <v>9545</v>
      </c>
      <c r="Q12" s="60">
        <f>'Ressourcenausgleich Basis'!Q124</f>
        <v>6769</v>
      </c>
      <c r="R12" s="60">
        <f>'Ressourcenausgleich Basis'!R124</f>
        <v>3461</v>
      </c>
      <c r="S12" s="60">
        <f>'Ressourcenausgleich Basis'!S124</f>
        <v>6087</v>
      </c>
      <c r="T12" s="60">
        <f>'Ressourcenausgleich Basis'!T124</f>
        <v>8044</v>
      </c>
      <c r="U12" s="60">
        <f>'Ressourcenausgleich Basis'!U124</f>
        <v>3971</v>
      </c>
      <c r="V12" s="60">
        <f>'Ressourcenausgleich Basis'!V124</f>
        <v>4995</v>
      </c>
      <c r="W12" s="60">
        <f>'Ressourcenausgleich Basis'!W124</f>
        <v>6731</v>
      </c>
      <c r="X12" s="60">
        <f>'Ressourcenausgleich Basis'!X124</f>
        <v>10095</v>
      </c>
      <c r="Y12" s="60">
        <f>'Ressourcenausgleich Basis'!Y124</f>
        <v>4822</v>
      </c>
      <c r="Z12" s="60">
        <f>'Ressourcenausgleich Basis'!Z124</f>
        <v>2106</v>
      </c>
      <c r="AA12" s="60">
        <f>'Ressourcenausgleich Basis'!AA124</f>
        <v>12046</v>
      </c>
      <c r="AB12" s="60">
        <f>'Ressourcenausgleich Basis'!AB124</f>
        <v>1537</v>
      </c>
      <c r="AC12" s="60">
        <f>'Ressourcenausgleich Basis'!AC124</f>
        <v>9057</v>
      </c>
      <c r="AD12" s="60">
        <f>'Ressourcenausgleich Basis'!AD124</f>
        <v>2447</v>
      </c>
      <c r="AE12" s="60">
        <f>'Ressourcenausgleich Basis'!AE124</f>
        <v>5925</v>
      </c>
      <c r="AF12" s="60">
        <f>'Ressourcenausgleich Basis'!AF124</f>
        <v>3612</v>
      </c>
      <c r="AG12" s="60">
        <f>'Ressourcenausgleich Basis'!AG124</f>
        <v>7238</v>
      </c>
      <c r="AH12" s="60">
        <f>'Ressourcenausgleich Basis'!AH124</f>
        <v>13286</v>
      </c>
      <c r="AI12" s="60">
        <f>'Ressourcenausgleich Basis'!AI124</f>
        <v>5210</v>
      </c>
      <c r="AJ12" s="60">
        <f>'Ressourcenausgleich Basis'!AJ124</f>
        <v>5297</v>
      </c>
      <c r="AK12" s="60">
        <f>'Ressourcenausgleich Basis'!AK124</f>
        <v>6224</v>
      </c>
      <c r="AL12" s="60">
        <f>'Ressourcenausgleich Basis'!AL124</f>
        <v>4954</v>
      </c>
      <c r="AM12" s="60">
        <f>'Ressourcenausgleich Basis'!AM124</f>
        <v>6538</v>
      </c>
      <c r="AN12" s="60">
        <f>'Ressourcenausgleich Basis'!AN124</f>
        <v>1544</v>
      </c>
      <c r="AO12" s="60">
        <f>'Ressourcenausgleich Basis'!AO124</f>
        <v>8991</v>
      </c>
      <c r="AP12" s="60">
        <f>'Ressourcenausgleich Basis'!AP124</f>
        <v>5074</v>
      </c>
      <c r="AQ12" s="60">
        <f>'Ressourcenausgleich Basis'!AQ124</f>
        <v>5801</v>
      </c>
      <c r="AR12" s="60">
        <f>'Ressourcenausgleich Basis'!AR124</f>
        <v>3000</v>
      </c>
      <c r="AS12" s="60">
        <f>'Ressourcenausgleich Basis'!AS124</f>
        <v>1865</v>
      </c>
      <c r="AT12" s="60">
        <f>'Ressourcenausgleich Basis'!AT124</f>
        <v>1802</v>
      </c>
      <c r="AU12" s="60">
        <f>'Ressourcenausgleich Basis'!AU124</f>
        <v>3951</v>
      </c>
      <c r="AV12" s="60">
        <f>'Ressourcenausgleich Basis'!AV124</f>
        <v>3025</v>
      </c>
      <c r="AW12" s="60">
        <f>'Ressourcenausgleich Basis'!AW124</f>
        <v>5029</v>
      </c>
      <c r="AX12" s="60">
        <f>'Ressourcenausgleich Basis'!AX124</f>
        <v>5443</v>
      </c>
      <c r="AY12" s="60">
        <f>'Ressourcenausgleich Basis'!AY124</f>
        <v>6564</v>
      </c>
      <c r="AZ12" s="60">
        <f>'Ressourcenausgleich Basis'!AZ124</f>
        <v>4043</v>
      </c>
      <c r="BA12" s="60">
        <f>'Ressourcenausgleich Basis'!BA124</f>
        <v>27828</v>
      </c>
      <c r="BB12" s="60">
        <f>'Ressourcenausgleich Basis'!BB124</f>
        <v>9836</v>
      </c>
      <c r="BC12" s="60">
        <f>'Ressourcenausgleich Basis'!BC124</f>
        <v>2607</v>
      </c>
      <c r="BD12" s="60">
        <f>'Ressourcenausgleich Basis'!BD124</f>
        <v>3656</v>
      </c>
      <c r="BE12" s="60">
        <f>'Ressourcenausgleich Basis'!BE124</f>
        <v>5051</v>
      </c>
      <c r="BF12" s="60">
        <f>'Ressourcenausgleich Basis'!BF124</f>
        <v>8877</v>
      </c>
      <c r="BG12" s="60">
        <f>'Ressourcenausgleich Basis'!BG124</f>
        <v>1960</v>
      </c>
      <c r="BH12" s="60">
        <f>'Ressourcenausgleich Basis'!BH124</f>
        <v>6257</v>
      </c>
      <c r="BI12" s="60">
        <f>'Ressourcenausgleich Basis'!BI124</f>
        <v>5080</v>
      </c>
      <c r="BJ12" s="60">
        <f>'Ressourcenausgleich Basis'!BJ124</f>
        <v>1613</v>
      </c>
      <c r="BK12" s="60">
        <f>'Ressourcenausgleich Basis'!BK124</f>
        <v>2896</v>
      </c>
      <c r="BL12" s="60">
        <f>'Ressourcenausgleich Basis'!BL124</f>
        <v>9414</v>
      </c>
      <c r="BM12" s="60">
        <f>'Ressourcenausgleich Basis'!BM124</f>
        <v>3920</v>
      </c>
      <c r="BN12" s="60">
        <f>'Ressourcenausgleich Basis'!BN124</f>
        <v>6574</v>
      </c>
      <c r="BO12" s="60">
        <f>'Ressourcenausgleich Basis'!BO124</f>
        <v>13493</v>
      </c>
      <c r="BP12" s="60">
        <f>'Ressourcenausgleich Basis'!BP124</f>
        <v>10444</v>
      </c>
      <c r="BQ12" s="60">
        <f>'Ressourcenausgleich Basis'!BQ124</f>
        <v>4113</v>
      </c>
      <c r="BR12" s="60">
        <f>'Ressourcenausgleich Basis'!BR124</f>
        <v>24306</v>
      </c>
      <c r="BS12" s="60">
        <f>'Ressourcenausgleich Basis'!BS124</f>
        <v>4848</v>
      </c>
      <c r="BT12" s="60">
        <f>'Ressourcenausgleich Basis'!BT124</f>
        <v>4538</v>
      </c>
      <c r="BU12" s="60">
        <f>'Ressourcenausgleich Basis'!BU124</f>
        <v>1517</v>
      </c>
      <c r="BV12" s="60">
        <f>'Ressourcenausgleich Basis'!BV124</f>
        <v>3182</v>
      </c>
      <c r="BW12" s="60">
        <f>'Ressourcenausgleich Basis'!BW124</f>
        <v>18017</v>
      </c>
      <c r="BX12" s="60">
        <f>'Ressourcenausgleich Basis'!BX124</f>
        <v>2087</v>
      </c>
      <c r="BY12" s="60">
        <f>'Ressourcenausgleich Basis'!BY124</f>
        <v>3569</v>
      </c>
      <c r="BZ12" s="60">
        <f>'Ressourcenausgleich Basis'!BZ124</f>
        <v>8467</v>
      </c>
      <c r="CA12" s="38"/>
      <c r="CB12" s="38"/>
    </row>
    <row r="13" spans="1:80" x14ac:dyDescent="0.2">
      <c r="A13" s="38"/>
      <c r="B13" s="3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38"/>
      <c r="CB13" s="38"/>
    </row>
    <row r="14" spans="1:80" x14ac:dyDescent="0.2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80" s="57" customFormat="1" ht="15.75" x14ac:dyDescent="0.25">
      <c r="A15" s="22" t="s">
        <v>98</v>
      </c>
      <c r="B15" s="22" t="s">
        <v>162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22"/>
      <c r="CB15" s="22"/>
    </row>
    <row r="16" spans="1:80" x14ac:dyDescent="0.2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80" s="32" customFormat="1" x14ac:dyDescent="0.2">
      <c r="A17" s="63" t="s">
        <v>128</v>
      </c>
      <c r="B17" s="61" t="s">
        <v>163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1"/>
      <c r="CB17" s="61"/>
    </row>
    <row r="18" spans="1:80" x14ac:dyDescent="0.2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80" s="32" customFormat="1" x14ac:dyDescent="0.2">
      <c r="A19" s="30"/>
      <c r="B19" s="30" t="s">
        <v>160</v>
      </c>
      <c r="C19" s="73">
        <f>SUM(D19:BZ19)</f>
        <v>125515.57399999998</v>
      </c>
      <c r="D19" s="44">
        <v>10160.1458</v>
      </c>
      <c r="E19" s="44">
        <v>1317.9758000000002</v>
      </c>
      <c r="F19" s="44">
        <v>704.20600000000002</v>
      </c>
      <c r="G19" s="44">
        <v>855.36900000000003</v>
      </c>
      <c r="H19" s="44">
        <v>1005.6514</v>
      </c>
      <c r="I19" s="44">
        <v>1244.9759999999999</v>
      </c>
      <c r="J19" s="44">
        <v>577.21100000000001</v>
      </c>
      <c r="K19" s="44">
        <v>284.541</v>
      </c>
      <c r="L19" s="44">
        <v>210.18600000000001</v>
      </c>
      <c r="M19" s="44">
        <v>519.98360000000002</v>
      </c>
      <c r="N19" s="44">
        <v>873.35140000000001</v>
      </c>
      <c r="O19" s="44">
        <v>1151.2950000000001</v>
      </c>
      <c r="P19" s="44">
        <v>1130.5289999999998</v>
      </c>
      <c r="Q19" s="44">
        <v>1431.0299999999997</v>
      </c>
      <c r="R19" s="44">
        <v>574.55299999999988</v>
      </c>
      <c r="S19" s="44">
        <v>1022.252</v>
      </c>
      <c r="T19" s="44">
        <v>1070.4309999999998</v>
      </c>
      <c r="U19" s="44">
        <v>848.51840000000004</v>
      </c>
      <c r="V19" s="44">
        <v>796.375</v>
      </c>
      <c r="W19" s="44">
        <v>1167.829</v>
      </c>
      <c r="X19" s="44">
        <v>1314.5629999999999</v>
      </c>
      <c r="Y19" s="44">
        <v>765.25</v>
      </c>
      <c r="Z19" s="44">
        <v>687.31100000000004</v>
      </c>
      <c r="AA19" s="44">
        <v>4110.5220000000008</v>
      </c>
      <c r="AB19" s="44">
        <v>600.97899999999993</v>
      </c>
      <c r="AC19" s="44">
        <v>3386.4323999999992</v>
      </c>
      <c r="AD19" s="44">
        <v>877.57999999999993</v>
      </c>
      <c r="AE19" s="44">
        <v>1957.6159999999998</v>
      </c>
      <c r="AF19" s="44">
        <v>1312.857</v>
      </c>
      <c r="AG19" s="44">
        <v>2730.2452000000003</v>
      </c>
      <c r="AH19" s="44">
        <v>1672.6039999999998</v>
      </c>
      <c r="AI19" s="44">
        <v>1473.5410000000002</v>
      </c>
      <c r="AJ19" s="44">
        <v>1570.3363999999997</v>
      </c>
      <c r="AK19" s="44">
        <v>957.14899999999977</v>
      </c>
      <c r="AL19" s="44">
        <v>1429.9649999999999</v>
      </c>
      <c r="AM19" s="44">
        <v>1156.7901999999999</v>
      </c>
      <c r="AN19" s="44">
        <v>1859.6064000000001</v>
      </c>
      <c r="AO19" s="44">
        <v>3107.0492000000004</v>
      </c>
      <c r="AP19" s="44">
        <v>2050.6168000000002</v>
      </c>
      <c r="AQ19" s="44">
        <v>1308.527</v>
      </c>
      <c r="AR19" s="44">
        <v>972.57500000000005</v>
      </c>
      <c r="AS19" s="44">
        <v>1535.7234000000001</v>
      </c>
      <c r="AT19" s="44">
        <v>302.04700000000003</v>
      </c>
      <c r="AU19" s="44">
        <v>1270.2439999999999</v>
      </c>
      <c r="AV19" s="44">
        <v>954.83900000000006</v>
      </c>
      <c r="AW19" s="44">
        <v>983.49099999999999</v>
      </c>
      <c r="AX19" s="44">
        <v>1377.5416</v>
      </c>
      <c r="AY19" s="44">
        <v>892.36300000000006</v>
      </c>
      <c r="AZ19" s="44">
        <v>542.88499999999988</v>
      </c>
      <c r="BA19" s="44">
        <v>2672.384</v>
      </c>
      <c r="BB19" s="44">
        <v>3411.5488</v>
      </c>
      <c r="BC19" s="44">
        <v>2070.0419999999999</v>
      </c>
      <c r="BD19" s="44">
        <v>2643.1755999999991</v>
      </c>
      <c r="BE19" s="44">
        <v>2442.3034000000002</v>
      </c>
      <c r="BF19" s="44">
        <v>3163.6979999999999</v>
      </c>
      <c r="BG19" s="44">
        <v>360.98059999999998</v>
      </c>
      <c r="BH19" s="44">
        <v>5116.7159999999994</v>
      </c>
      <c r="BI19" s="44">
        <v>1937.4456</v>
      </c>
      <c r="BJ19" s="44">
        <v>925.45300000000009</v>
      </c>
      <c r="BK19" s="44">
        <v>2300.0069999999992</v>
      </c>
      <c r="BL19" s="44">
        <v>4027.6422000000002</v>
      </c>
      <c r="BM19" s="44">
        <v>1016.5484000000001</v>
      </c>
      <c r="BN19" s="44">
        <v>1283.0296000000001</v>
      </c>
      <c r="BO19" s="44">
        <v>2411.5650000000001</v>
      </c>
      <c r="BP19" s="44">
        <v>2003.4418000000003</v>
      </c>
      <c r="BQ19" s="44">
        <v>1539.6079999999999</v>
      </c>
      <c r="BR19" s="44">
        <v>3281.3052000000002</v>
      </c>
      <c r="BS19" s="44">
        <v>873.02</v>
      </c>
      <c r="BT19" s="44">
        <v>1707.2225999999996</v>
      </c>
      <c r="BU19" s="44">
        <v>847.11199999999997</v>
      </c>
      <c r="BV19" s="44">
        <v>1284.9269999999997</v>
      </c>
      <c r="BW19" s="44">
        <v>3442.4478000000004</v>
      </c>
      <c r="BX19" s="44">
        <v>654.87300000000005</v>
      </c>
      <c r="BY19" s="44">
        <v>2371.6438000000003</v>
      </c>
      <c r="BZ19" s="44">
        <v>1619.7746000000002</v>
      </c>
      <c r="CB19" s="30" t="s">
        <v>179</v>
      </c>
    </row>
    <row r="20" spans="1:80" x14ac:dyDescent="0.2">
      <c r="B20" s="3" t="s">
        <v>166</v>
      </c>
      <c r="C20" s="5"/>
      <c r="D20" s="5">
        <f t="shared" ref="D20:AI20" si="0">D19/D12</f>
        <v>0.13311164710198092</v>
      </c>
      <c r="E20" s="5">
        <f t="shared" si="0"/>
        <v>0.13384541484716159</v>
      </c>
      <c r="F20" s="5">
        <f t="shared" si="0"/>
        <v>0.51177761627906981</v>
      </c>
      <c r="G20" s="5">
        <f t="shared" si="0"/>
        <v>0.68870289855072464</v>
      </c>
      <c r="H20" s="5">
        <f t="shared" si="0"/>
        <v>0.27642974161627265</v>
      </c>
      <c r="I20" s="5">
        <f t="shared" si="0"/>
        <v>0.13076105451108075</v>
      </c>
      <c r="J20" s="5">
        <f t="shared" si="0"/>
        <v>0.1621834785051981</v>
      </c>
      <c r="K20" s="5">
        <f t="shared" si="0"/>
        <v>0.31440994475138123</v>
      </c>
      <c r="L20" s="5">
        <f t="shared" si="0"/>
        <v>0.13260946372239749</v>
      </c>
      <c r="M20" s="5">
        <f t="shared" si="0"/>
        <v>0.50386007751937989</v>
      </c>
      <c r="N20" s="5">
        <f t="shared" si="0"/>
        <v>0.37306766339171293</v>
      </c>
      <c r="O20" s="5">
        <f t="shared" si="0"/>
        <v>0.15164581138040042</v>
      </c>
      <c r="P20" s="5">
        <f t="shared" si="0"/>
        <v>0.11844201152435828</v>
      </c>
      <c r="Q20" s="5">
        <f t="shared" si="0"/>
        <v>0.21140936622839412</v>
      </c>
      <c r="R20" s="5">
        <f t="shared" si="0"/>
        <v>0.16600780121352207</v>
      </c>
      <c r="S20" s="5">
        <f t="shared" si="0"/>
        <v>0.16794020042713981</v>
      </c>
      <c r="T20" s="5">
        <f t="shared" si="0"/>
        <v>0.13307197911486821</v>
      </c>
      <c r="U20" s="5">
        <f t="shared" si="0"/>
        <v>0.21367877109040545</v>
      </c>
      <c r="V20" s="5">
        <f t="shared" si="0"/>
        <v>0.15943443443443445</v>
      </c>
      <c r="W20" s="5">
        <f t="shared" si="0"/>
        <v>0.17350007428316744</v>
      </c>
      <c r="X20" s="5">
        <f t="shared" si="0"/>
        <v>0.13021921743437345</v>
      </c>
      <c r="Y20" s="5">
        <f t="shared" si="0"/>
        <v>0.15869970966403982</v>
      </c>
      <c r="Z20" s="5">
        <f t="shared" si="0"/>
        <v>0.32635849952516621</v>
      </c>
      <c r="AA20" s="5">
        <f t="shared" si="0"/>
        <v>0.34123543084841446</v>
      </c>
      <c r="AB20" s="5">
        <f t="shared" si="0"/>
        <v>0.39100780741704616</v>
      </c>
      <c r="AC20" s="5">
        <f t="shared" si="0"/>
        <v>0.37390221927790651</v>
      </c>
      <c r="AD20" s="5">
        <f t="shared" si="0"/>
        <v>0.35863506334286877</v>
      </c>
      <c r="AE20" s="5">
        <f t="shared" si="0"/>
        <v>0.33039932489451473</v>
      </c>
      <c r="AF20" s="5">
        <f t="shared" si="0"/>
        <v>0.36347093023255811</v>
      </c>
      <c r="AG20" s="5">
        <f t="shared" si="0"/>
        <v>0.37720989223542417</v>
      </c>
      <c r="AH20" s="5">
        <f t="shared" si="0"/>
        <v>0.12589221737166942</v>
      </c>
      <c r="AI20" s="5">
        <f t="shared" si="0"/>
        <v>0.28282936660268715</v>
      </c>
      <c r="AJ20" s="5">
        <f t="shared" ref="AJ20:BM20" si="1">AJ19/AJ12</f>
        <v>0.29645769303379266</v>
      </c>
      <c r="AK20" s="5">
        <f t="shared" si="1"/>
        <v>0.15378357969151668</v>
      </c>
      <c r="AL20" s="5">
        <f t="shared" si="1"/>
        <v>0.2886485668146952</v>
      </c>
      <c r="AM20" s="5">
        <f t="shared" si="1"/>
        <v>0.17693334353013151</v>
      </c>
      <c r="AN20" s="5">
        <f t="shared" si="1"/>
        <v>1.2044082901554405</v>
      </c>
      <c r="AO20" s="5">
        <f t="shared" si="1"/>
        <v>0.34557326215103995</v>
      </c>
      <c r="AP20" s="5">
        <f t="shared" si="1"/>
        <v>0.40414205754828542</v>
      </c>
      <c r="AQ20" s="5">
        <f t="shared" si="1"/>
        <v>0.22556921220479229</v>
      </c>
      <c r="AR20" s="5">
        <f t="shared" si="1"/>
        <v>0.32419166666666666</v>
      </c>
      <c r="AS20" s="5">
        <f t="shared" si="1"/>
        <v>0.8234441823056301</v>
      </c>
      <c r="AT20" s="5">
        <f t="shared" si="1"/>
        <v>0.16761764705882354</v>
      </c>
      <c r="AU20" s="5">
        <f t="shared" si="1"/>
        <v>0.32149936724879774</v>
      </c>
      <c r="AV20" s="5">
        <f t="shared" si="1"/>
        <v>0.31564925619834711</v>
      </c>
      <c r="AW20" s="5">
        <f t="shared" si="1"/>
        <v>0.19556392921057864</v>
      </c>
      <c r="AX20" s="5">
        <f t="shared" si="1"/>
        <v>0.25308498989527833</v>
      </c>
      <c r="AY20" s="5">
        <f t="shared" si="1"/>
        <v>0.13594804996953078</v>
      </c>
      <c r="AZ20" s="5">
        <f t="shared" si="1"/>
        <v>0.13427776403660646</v>
      </c>
      <c r="BA20" s="5">
        <f t="shared" si="1"/>
        <v>9.6032197786402179E-2</v>
      </c>
      <c r="BB20" s="5">
        <f t="shared" si="1"/>
        <v>0.34684310695404635</v>
      </c>
      <c r="BC20" s="5">
        <f t="shared" si="1"/>
        <v>0.79403222094361336</v>
      </c>
      <c r="BD20" s="5">
        <f t="shared" si="1"/>
        <v>0.72296925601750528</v>
      </c>
      <c r="BE20" s="5">
        <f t="shared" si="1"/>
        <v>0.48352868738863597</v>
      </c>
      <c r="BF20" s="5">
        <f t="shared" si="1"/>
        <v>0.35639270023656638</v>
      </c>
      <c r="BG20" s="5">
        <f t="shared" si="1"/>
        <v>0.18417377551020409</v>
      </c>
      <c r="BH20" s="5">
        <f t="shared" ref="BH20" si="2">BH19/BH12</f>
        <v>0.81775867028927596</v>
      </c>
      <c r="BI20" s="5">
        <f t="shared" si="1"/>
        <v>0.38138692913385824</v>
      </c>
      <c r="BJ20" s="5">
        <f t="shared" si="1"/>
        <v>0.57374643521388724</v>
      </c>
      <c r="BK20" s="5">
        <f t="shared" si="1"/>
        <v>0.7942013121546958</v>
      </c>
      <c r="BL20" s="5">
        <f t="shared" si="1"/>
        <v>0.4278353728489484</v>
      </c>
      <c r="BM20" s="5">
        <f t="shared" si="1"/>
        <v>0.25932357142857149</v>
      </c>
      <c r="BN20" s="5">
        <f t="shared" ref="BN20:BZ20" si="3">BN19/BN12</f>
        <v>0.19516726498326742</v>
      </c>
      <c r="BO20" s="5">
        <f t="shared" si="3"/>
        <v>0.17872711776476691</v>
      </c>
      <c r="BP20" s="5">
        <f t="shared" si="3"/>
        <v>0.19182705859823826</v>
      </c>
      <c r="BQ20" s="5">
        <f t="shared" si="3"/>
        <v>0.37432725504497932</v>
      </c>
      <c r="BR20" s="5">
        <f t="shared" si="3"/>
        <v>0.13499980251789684</v>
      </c>
      <c r="BS20" s="5">
        <f t="shared" si="3"/>
        <v>0.18007838283828381</v>
      </c>
      <c r="BT20" s="5">
        <f t="shared" si="3"/>
        <v>0.37620594975760235</v>
      </c>
      <c r="BU20" s="5">
        <f t="shared" si="3"/>
        <v>0.55841265655899797</v>
      </c>
      <c r="BV20" s="5">
        <f t="shared" si="3"/>
        <v>0.40381112507856681</v>
      </c>
      <c r="BW20" s="5">
        <f t="shared" si="3"/>
        <v>0.19106664816562138</v>
      </c>
      <c r="BX20" s="5">
        <f t="shared" si="3"/>
        <v>0.31378677527551513</v>
      </c>
      <c r="BY20" s="5">
        <f t="shared" si="3"/>
        <v>0.66451213224993</v>
      </c>
      <c r="BZ20" s="5">
        <f t="shared" si="3"/>
        <v>0.19130442895948982</v>
      </c>
      <c r="CB20" s="33"/>
    </row>
    <row r="21" spans="1:80" x14ac:dyDescent="0.2">
      <c r="B21" s="38" t="s">
        <v>169</v>
      </c>
      <c r="C21" s="12">
        <v>1166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B21" s="33" t="s">
        <v>180</v>
      </c>
    </row>
    <row r="22" spans="1:80" x14ac:dyDescent="0.2">
      <c r="B22" s="38" t="s">
        <v>170</v>
      </c>
      <c r="C22" s="5"/>
      <c r="D22" s="5">
        <f>D20*$C21</f>
        <v>155.20818052090976</v>
      </c>
      <c r="E22" s="5">
        <f t="shared" ref="E22:BN22" si="4">E20*$C21</f>
        <v>156.06375371179041</v>
      </c>
      <c r="F22" s="5">
        <f t="shared" si="4"/>
        <v>596.73270058139542</v>
      </c>
      <c r="G22" s="5">
        <f t="shared" si="4"/>
        <v>803.02757971014489</v>
      </c>
      <c r="H22" s="5">
        <f t="shared" si="4"/>
        <v>322.31707872457389</v>
      </c>
      <c r="I22" s="5">
        <f t="shared" si="4"/>
        <v>152.46738955992015</v>
      </c>
      <c r="J22" s="5">
        <f t="shared" si="4"/>
        <v>189.10593593706099</v>
      </c>
      <c r="K22" s="5">
        <f t="shared" si="4"/>
        <v>366.6019955801105</v>
      </c>
      <c r="L22" s="5">
        <f t="shared" si="4"/>
        <v>154.62263470031547</v>
      </c>
      <c r="M22" s="5">
        <f t="shared" si="4"/>
        <v>587.50085038759698</v>
      </c>
      <c r="N22" s="5">
        <f t="shared" si="4"/>
        <v>434.99689551473728</v>
      </c>
      <c r="O22" s="5">
        <f t="shared" si="4"/>
        <v>176.8190160695469</v>
      </c>
      <c r="P22" s="5">
        <f t="shared" si="4"/>
        <v>138.10338543740176</v>
      </c>
      <c r="Q22" s="5">
        <f t="shared" si="4"/>
        <v>246.50332102230755</v>
      </c>
      <c r="R22" s="5">
        <f t="shared" si="4"/>
        <v>193.56509621496673</v>
      </c>
      <c r="S22" s="5">
        <f t="shared" si="4"/>
        <v>195.818273698045</v>
      </c>
      <c r="T22" s="5">
        <f t="shared" si="4"/>
        <v>155.16192764793632</v>
      </c>
      <c r="U22" s="5">
        <f t="shared" si="4"/>
        <v>249.14944709141275</v>
      </c>
      <c r="V22" s="5">
        <f t="shared" si="4"/>
        <v>185.90055055055058</v>
      </c>
      <c r="W22" s="5">
        <f t="shared" si="4"/>
        <v>202.30108661417324</v>
      </c>
      <c r="X22" s="5">
        <f t="shared" si="4"/>
        <v>151.83560752847944</v>
      </c>
      <c r="Y22" s="5">
        <f t="shared" si="4"/>
        <v>185.04386146827042</v>
      </c>
      <c r="Z22" s="5">
        <f t="shared" si="4"/>
        <v>380.53401044634381</v>
      </c>
      <c r="AA22" s="5">
        <f t="shared" si="4"/>
        <v>397.88051236925128</v>
      </c>
      <c r="AB22" s="5">
        <f t="shared" si="4"/>
        <v>455.91510344827583</v>
      </c>
      <c r="AC22" s="5">
        <f t="shared" si="4"/>
        <v>435.96998767803899</v>
      </c>
      <c r="AD22" s="5">
        <f t="shared" si="4"/>
        <v>418.16848385778496</v>
      </c>
      <c r="AE22" s="5">
        <f t="shared" si="4"/>
        <v>385.24561282700415</v>
      </c>
      <c r="AF22" s="5">
        <f t="shared" si="4"/>
        <v>423.80710465116277</v>
      </c>
      <c r="AG22" s="5">
        <f t="shared" si="4"/>
        <v>439.82673434650457</v>
      </c>
      <c r="AH22" s="5">
        <f t="shared" si="4"/>
        <v>146.79032545536654</v>
      </c>
      <c r="AI22" s="5">
        <f t="shared" si="4"/>
        <v>329.77904145873322</v>
      </c>
      <c r="AJ22" s="5">
        <f t="shared" si="4"/>
        <v>345.66967007740226</v>
      </c>
      <c r="AK22" s="5">
        <f t="shared" si="4"/>
        <v>179.31165392030846</v>
      </c>
      <c r="AL22" s="5">
        <f t="shared" si="4"/>
        <v>336.56422890593461</v>
      </c>
      <c r="AM22" s="5">
        <f t="shared" si="4"/>
        <v>206.30427855613334</v>
      </c>
      <c r="AN22" s="5">
        <f t="shared" si="4"/>
        <v>1404.3400663212435</v>
      </c>
      <c r="AO22" s="5">
        <f t="shared" si="4"/>
        <v>402.93842366811259</v>
      </c>
      <c r="AP22" s="5">
        <f t="shared" si="4"/>
        <v>471.22963910130079</v>
      </c>
      <c r="AQ22" s="5">
        <f t="shared" si="4"/>
        <v>263.01370143078782</v>
      </c>
      <c r="AR22" s="5">
        <f t="shared" si="4"/>
        <v>378.00748333333331</v>
      </c>
      <c r="AS22" s="5">
        <f t="shared" si="4"/>
        <v>960.13591656836468</v>
      </c>
      <c r="AT22" s="5">
        <f t="shared" si="4"/>
        <v>195.44217647058824</v>
      </c>
      <c r="AU22" s="5">
        <f t="shared" si="4"/>
        <v>374.86826221209816</v>
      </c>
      <c r="AV22" s="5">
        <f t="shared" si="4"/>
        <v>368.04703272727272</v>
      </c>
      <c r="AW22" s="5">
        <f t="shared" si="4"/>
        <v>228.02754145953469</v>
      </c>
      <c r="AX22" s="5">
        <f t="shared" si="4"/>
        <v>295.09709821789454</v>
      </c>
      <c r="AY22" s="5">
        <f t="shared" si="4"/>
        <v>158.51542626447289</v>
      </c>
      <c r="AZ22" s="5">
        <f t="shared" si="4"/>
        <v>156.56787286668313</v>
      </c>
      <c r="BA22" s="5">
        <f t="shared" si="4"/>
        <v>111.97354261894495</v>
      </c>
      <c r="BB22" s="5">
        <f t="shared" si="4"/>
        <v>404.41906270841804</v>
      </c>
      <c r="BC22" s="5">
        <f t="shared" si="4"/>
        <v>925.84156962025315</v>
      </c>
      <c r="BD22" s="5">
        <f t="shared" si="4"/>
        <v>842.98215251641113</v>
      </c>
      <c r="BE22" s="5">
        <f t="shared" si="4"/>
        <v>563.79444949514959</v>
      </c>
      <c r="BF22" s="5">
        <f t="shared" si="4"/>
        <v>415.5538884758364</v>
      </c>
      <c r="BG22" s="5">
        <f t="shared" si="4"/>
        <v>214.74662224489796</v>
      </c>
      <c r="BH22" s="5">
        <f t="shared" ref="BH22" si="5">BH20*$C21</f>
        <v>953.50660955729575</v>
      </c>
      <c r="BI22" s="5">
        <f t="shared" si="4"/>
        <v>444.69715937007874</v>
      </c>
      <c r="BJ22" s="5">
        <f t="shared" si="4"/>
        <v>668.98834345939247</v>
      </c>
      <c r="BK22" s="5">
        <f t="shared" si="4"/>
        <v>926.03872997237534</v>
      </c>
      <c r="BL22" s="5">
        <f t="shared" si="4"/>
        <v>498.85604474187386</v>
      </c>
      <c r="BM22" s="5">
        <f t="shared" si="4"/>
        <v>302.37128428571435</v>
      </c>
      <c r="BN22" s="5">
        <f t="shared" si="4"/>
        <v>227.5650309704898</v>
      </c>
      <c r="BO22" s="5">
        <f t="shared" ref="BO22:BZ22" si="6">BO20*$C21</f>
        <v>208.39581931371822</v>
      </c>
      <c r="BP22" s="5">
        <f t="shared" si="6"/>
        <v>223.6703503255458</v>
      </c>
      <c r="BQ22" s="5">
        <f t="shared" si="6"/>
        <v>436.46557938244587</v>
      </c>
      <c r="BR22" s="5">
        <f t="shared" si="6"/>
        <v>157.40976973586771</v>
      </c>
      <c r="BS22" s="5">
        <f t="shared" si="6"/>
        <v>209.97139438943893</v>
      </c>
      <c r="BT22" s="5">
        <f t="shared" si="6"/>
        <v>438.65613741736433</v>
      </c>
      <c r="BU22" s="5">
        <f t="shared" si="6"/>
        <v>651.1091575477916</v>
      </c>
      <c r="BV22" s="5">
        <f t="shared" si="6"/>
        <v>470.84377184160888</v>
      </c>
      <c r="BW22" s="5">
        <f t="shared" si="6"/>
        <v>222.78371176111455</v>
      </c>
      <c r="BX22" s="5">
        <f t="shared" si="6"/>
        <v>365.87537997125065</v>
      </c>
      <c r="BY22" s="5">
        <f t="shared" si="6"/>
        <v>774.82114620341838</v>
      </c>
      <c r="BZ22" s="5">
        <f t="shared" si="6"/>
        <v>223.06096416676513</v>
      </c>
      <c r="CB22" s="33"/>
    </row>
    <row r="23" spans="1:80" x14ac:dyDescent="0.2">
      <c r="C23" s="5"/>
      <c r="D23" s="5"/>
      <c r="E23" s="6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B23" s="33"/>
    </row>
    <row r="24" spans="1:80" s="32" customFormat="1" x14ac:dyDescent="0.2">
      <c r="A24" s="21"/>
      <c r="B24" s="32" t="s">
        <v>171</v>
      </c>
      <c r="C24" s="15"/>
      <c r="D24" s="15">
        <f t="shared" ref="D24:AI24" si="7">D12*D22</f>
        <v>11846730.002800001</v>
      </c>
      <c r="E24" s="15">
        <f t="shared" si="7"/>
        <v>1536759.7828000002</v>
      </c>
      <c r="F24" s="15">
        <f t="shared" si="7"/>
        <v>821104.19600000011</v>
      </c>
      <c r="G24" s="15">
        <f t="shared" si="7"/>
        <v>997360.25399999996</v>
      </c>
      <c r="H24" s="15">
        <f t="shared" si="7"/>
        <v>1172589.5323999999</v>
      </c>
      <c r="I24" s="15">
        <f t="shared" si="7"/>
        <v>1451642.0159999998</v>
      </c>
      <c r="J24" s="15">
        <f t="shared" si="7"/>
        <v>673028.02600000007</v>
      </c>
      <c r="K24" s="15">
        <f t="shared" si="7"/>
        <v>331774.80599999998</v>
      </c>
      <c r="L24" s="15">
        <f t="shared" si="7"/>
        <v>245076.87600000002</v>
      </c>
      <c r="M24" s="15">
        <f t="shared" si="7"/>
        <v>606300.87760000012</v>
      </c>
      <c r="N24" s="15">
        <f t="shared" si="7"/>
        <v>1018327.7324</v>
      </c>
      <c r="O24" s="15">
        <f t="shared" si="7"/>
        <v>1342409.9700000002</v>
      </c>
      <c r="P24" s="15">
        <f t="shared" si="7"/>
        <v>1318196.8139999998</v>
      </c>
      <c r="Q24" s="15">
        <f t="shared" si="7"/>
        <v>1668580.9799999997</v>
      </c>
      <c r="R24" s="15">
        <f t="shared" si="7"/>
        <v>669928.79799999984</v>
      </c>
      <c r="S24" s="15">
        <f t="shared" si="7"/>
        <v>1191945.8319999999</v>
      </c>
      <c r="T24" s="15">
        <f t="shared" si="7"/>
        <v>1248122.5459999999</v>
      </c>
      <c r="U24" s="15">
        <f t="shared" si="7"/>
        <v>989372.45440000005</v>
      </c>
      <c r="V24" s="15">
        <f t="shared" si="7"/>
        <v>928573.25000000012</v>
      </c>
      <c r="W24" s="15">
        <f t="shared" si="7"/>
        <v>1361688.6140000001</v>
      </c>
      <c r="X24" s="15">
        <f t="shared" si="7"/>
        <v>1532780.4579999999</v>
      </c>
      <c r="Y24" s="15">
        <f t="shared" si="7"/>
        <v>892281.5</v>
      </c>
      <c r="Z24" s="15">
        <f t="shared" si="7"/>
        <v>801404.62600000005</v>
      </c>
      <c r="AA24" s="15">
        <f t="shared" si="7"/>
        <v>4792868.6520000007</v>
      </c>
      <c r="AB24" s="15">
        <f t="shared" si="7"/>
        <v>700741.51399999997</v>
      </c>
      <c r="AC24" s="15">
        <f t="shared" si="7"/>
        <v>3948580.1783999992</v>
      </c>
      <c r="AD24" s="15">
        <f t="shared" si="7"/>
        <v>1023258.2799999998</v>
      </c>
      <c r="AE24" s="15">
        <f t="shared" si="7"/>
        <v>2282580.2559999996</v>
      </c>
      <c r="AF24" s="15">
        <f t="shared" si="7"/>
        <v>1530791.2619999999</v>
      </c>
      <c r="AG24" s="15">
        <f t="shared" si="7"/>
        <v>3183465.9032000001</v>
      </c>
      <c r="AH24" s="15">
        <f t="shared" si="7"/>
        <v>1950256.264</v>
      </c>
      <c r="AI24" s="15">
        <f t="shared" si="7"/>
        <v>1718148.8060000001</v>
      </c>
      <c r="AJ24" s="15">
        <f t="shared" ref="AJ24:BM24" si="8">AJ12*AJ22</f>
        <v>1831012.2423999999</v>
      </c>
      <c r="AK24" s="15">
        <f t="shared" si="8"/>
        <v>1116035.7339999999</v>
      </c>
      <c r="AL24" s="15">
        <f t="shared" si="8"/>
        <v>1667339.1900000002</v>
      </c>
      <c r="AM24" s="15">
        <f t="shared" si="8"/>
        <v>1348817.3731999998</v>
      </c>
      <c r="AN24" s="15">
        <f t="shared" si="8"/>
        <v>2168301.0624000002</v>
      </c>
      <c r="AO24" s="15">
        <f t="shared" si="8"/>
        <v>3622819.3672000002</v>
      </c>
      <c r="AP24" s="15">
        <f t="shared" si="8"/>
        <v>2391019.1888000001</v>
      </c>
      <c r="AQ24" s="15">
        <f t="shared" si="8"/>
        <v>1525742.4820000001</v>
      </c>
      <c r="AR24" s="15">
        <f t="shared" si="8"/>
        <v>1134022.45</v>
      </c>
      <c r="AS24" s="15">
        <f t="shared" si="8"/>
        <v>1790653.4844000002</v>
      </c>
      <c r="AT24" s="15">
        <f t="shared" si="8"/>
        <v>352186.80200000003</v>
      </c>
      <c r="AU24" s="15">
        <f t="shared" si="8"/>
        <v>1481104.5039999997</v>
      </c>
      <c r="AV24" s="15">
        <f t="shared" si="8"/>
        <v>1113342.274</v>
      </c>
      <c r="AW24" s="15">
        <f t="shared" si="8"/>
        <v>1146750.5060000001</v>
      </c>
      <c r="AX24" s="15">
        <f t="shared" si="8"/>
        <v>1606213.5056</v>
      </c>
      <c r="AY24" s="15">
        <f t="shared" si="8"/>
        <v>1040495.258</v>
      </c>
      <c r="AZ24" s="15">
        <f t="shared" si="8"/>
        <v>633003.90999999992</v>
      </c>
      <c r="BA24" s="15">
        <f t="shared" si="8"/>
        <v>3115999.7439999999</v>
      </c>
      <c r="BB24" s="15">
        <f t="shared" si="8"/>
        <v>3977865.9007999999</v>
      </c>
      <c r="BC24" s="15">
        <f t="shared" si="8"/>
        <v>2413668.9720000001</v>
      </c>
      <c r="BD24" s="15">
        <f t="shared" si="8"/>
        <v>3081942.7495999993</v>
      </c>
      <c r="BE24" s="15">
        <f t="shared" si="8"/>
        <v>2847725.7644000007</v>
      </c>
      <c r="BF24" s="15">
        <f t="shared" si="8"/>
        <v>3688871.8679999998</v>
      </c>
      <c r="BG24" s="15">
        <f t="shared" si="8"/>
        <v>420903.37959999999</v>
      </c>
      <c r="BH24" s="15">
        <f t="shared" ref="BH24" si="9">BH12*BH22</f>
        <v>5966090.8559999997</v>
      </c>
      <c r="BI24" s="15">
        <f t="shared" si="8"/>
        <v>2259061.5696</v>
      </c>
      <c r="BJ24" s="15">
        <f t="shared" si="8"/>
        <v>1079078.1980000001</v>
      </c>
      <c r="BK24" s="15">
        <f t="shared" si="8"/>
        <v>2681808.1619999991</v>
      </c>
      <c r="BL24" s="15">
        <f t="shared" si="8"/>
        <v>4696230.8052000003</v>
      </c>
      <c r="BM24" s="15">
        <f t="shared" si="8"/>
        <v>1185295.4344000004</v>
      </c>
      <c r="BN24" s="15">
        <f t="shared" ref="BN24:BZ24" si="10">BN12*BN22</f>
        <v>1496012.5135999999</v>
      </c>
      <c r="BO24" s="15">
        <f t="shared" si="10"/>
        <v>2811884.79</v>
      </c>
      <c r="BP24" s="15">
        <f t="shared" si="10"/>
        <v>2336013.1388000003</v>
      </c>
      <c r="BQ24" s="15">
        <f t="shared" si="10"/>
        <v>1795182.9279999998</v>
      </c>
      <c r="BR24" s="15">
        <f t="shared" si="10"/>
        <v>3826001.8632000005</v>
      </c>
      <c r="BS24" s="15">
        <f t="shared" si="10"/>
        <v>1017941.32</v>
      </c>
      <c r="BT24" s="15">
        <f t="shared" si="10"/>
        <v>1990621.5515999994</v>
      </c>
      <c r="BU24" s="15">
        <f t="shared" si="10"/>
        <v>987732.59199999983</v>
      </c>
      <c r="BV24" s="15">
        <f t="shared" si="10"/>
        <v>1498224.8819999995</v>
      </c>
      <c r="BW24" s="15">
        <f t="shared" si="10"/>
        <v>4013894.1348000006</v>
      </c>
      <c r="BX24" s="15">
        <f t="shared" si="10"/>
        <v>763581.91800000006</v>
      </c>
      <c r="BY24" s="15">
        <f t="shared" si="10"/>
        <v>2765336.6708000004</v>
      </c>
      <c r="BZ24" s="15">
        <f t="shared" si="10"/>
        <v>1888657.1836000003</v>
      </c>
      <c r="CA24" s="21"/>
      <c r="CB24" s="33"/>
    </row>
    <row r="25" spans="1:80" x14ac:dyDescent="0.2">
      <c r="C25" s="5"/>
      <c r="D25" s="5"/>
      <c r="E25" s="6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B25" s="33"/>
    </row>
    <row r="26" spans="1:80" s="32" customFormat="1" x14ac:dyDescent="0.2">
      <c r="A26" s="63" t="s">
        <v>129</v>
      </c>
      <c r="B26" s="61" t="s">
        <v>164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1"/>
      <c r="CB26" s="63"/>
    </row>
    <row r="27" spans="1:80" x14ac:dyDescent="0.2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B27" s="33"/>
    </row>
    <row r="28" spans="1:80" s="30" customFormat="1" x14ac:dyDescent="0.2">
      <c r="B28" s="30" t="s">
        <v>246</v>
      </c>
      <c r="C28" s="60">
        <f>SUM(D28:BZ28)</f>
        <v>21312</v>
      </c>
      <c r="D28" s="72">
        <v>1763</v>
      </c>
      <c r="E28" s="72">
        <v>0</v>
      </c>
      <c r="F28" s="72">
        <v>2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2104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0</v>
      </c>
      <c r="X28" s="72">
        <v>0</v>
      </c>
      <c r="Y28" s="72">
        <v>0</v>
      </c>
      <c r="Z28" s="72">
        <v>0</v>
      </c>
      <c r="AA28" s="72">
        <v>129</v>
      </c>
      <c r="AB28" s="72">
        <v>0</v>
      </c>
      <c r="AC28" s="72">
        <v>4</v>
      </c>
      <c r="AD28" s="72">
        <v>0</v>
      </c>
      <c r="AE28" s="72">
        <v>0</v>
      </c>
      <c r="AF28" s="72">
        <v>57</v>
      </c>
      <c r="AG28" s="72">
        <v>176</v>
      </c>
      <c r="AH28" s="72">
        <v>14</v>
      </c>
      <c r="AI28" s="72">
        <v>67</v>
      </c>
      <c r="AJ28" s="72">
        <v>35</v>
      </c>
      <c r="AK28" s="72">
        <v>0</v>
      </c>
      <c r="AL28" s="72">
        <v>13</v>
      </c>
      <c r="AM28" s="72">
        <v>7</v>
      </c>
      <c r="AN28" s="72">
        <v>1452</v>
      </c>
      <c r="AO28" s="72">
        <v>281</v>
      </c>
      <c r="AP28" s="72">
        <v>656</v>
      </c>
      <c r="AQ28" s="72">
        <v>142</v>
      </c>
      <c r="AR28" s="72">
        <v>129</v>
      </c>
      <c r="AS28" s="72">
        <v>1437</v>
      </c>
      <c r="AT28" s="72">
        <v>14</v>
      </c>
      <c r="AU28" s="72">
        <v>7</v>
      </c>
      <c r="AV28" s="72">
        <v>0</v>
      </c>
      <c r="AW28" s="72">
        <v>23</v>
      </c>
      <c r="AX28" s="72">
        <v>247</v>
      </c>
      <c r="AY28" s="72">
        <v>0</v>
      </c>
      <c r="AZ28" s="72">
        <v>0</v>
      </c>
      <c r="BA28" s="72">
        <v>0</v>
      </c>
      <c r="BB28" s="72">
        <v>744</v>
      </c>
      <c r="BC28" s="72">
        <v>2607</v>
      </c>
      <c r="BD28" s="72">
        <v>1560</v>
      </c>
      <c r="BE28" s="72">
        <v>458</v>
      </c>
      <c r="BF28" s="72">
        <v>693</v>
      </c>
      <c r="BG28" s="72">
        <v>6</v>
      </c>
      <c r="BH28" s="72">
        <v>3012</v>
      </c>
      <c r="BI28" s="72">
        <v>30</v>
      </c>
      <c r="BJ28" s="72">
        <v>62</v>
      </c>
      <c r="BK28" s="72">
        <v>306</v>
      </c>
      <c r="BL28" s="72">
        <v>122</v>
      </c>
      <c r="BM28" s="72">
        <v>0</v>
      </c>
      <c r="BN28" s="72">
        <v>0</v>
      </c>
      <c r="BO28" s="72">
        <v>0</v>
      </c>
      <c r="BP28" s="72">
        <v>0</v>
      </c>
      <c r="BQ28" s="72">
        <v>2818</v>
      </c>
      <c r="BR28" s="195">
        <v>0</v>
      </c>
      <c r="BS28" s="195">
        <v>0</v>
      </c>
      <c r="BT28" s="195">
        <v>0</v>
      </c>
      <c r="BU28" s="195">
        <v>0</v>
      </c>
      <c r="BV28" s="195">
        <v>0</v>
      </c>
      <c r="BW28" s="195">
        <v>0</v>
      </c>
      <c r="BX28" s="195">
        <v>3</v>
      </c>
      <c r="BY28" s="195">
        <v>110</v>
      </c>
      <c r="BZ28" s="195">
        <v>22</v>
      </c>
      <c r="CB28" s="30" t="s">
        <v>179</v>
      </c>
    </row>
    <row r="29" spans="1:80" x14ac:dyDescent="0.2">
      <c r="B29" s="3" t="s">
        <v>167</v>
      </c>
      <c r="C29" s="5"/>
      <c r="D29" s="5">
        <f>D28/D12</f>
        <v>2.3097683680955876E-2</v>
      </c>
      <c r="E29" s="5">
        <f t="shared" ref="E29:BN29" si="11">E28/E12</f>
        <v>0</v>
      </c>
      <c r="F29" s="5">
        <f t="shared" si="11"/>
        <v>1.4534883720930232E-3</v>
      </c>
      <c r="G29" s="5">
        <f t="shared" si="11"/>
        <v>0</v>
      </c>
      <c r="H29" s="5">
        <f t="shared" si="11"/>
        <v>0</v>
      </c>
      <c r="I29" s="5">
        <f t="shared" si="11"/>
        <v>0</v>
      </c>
      <c r="J29" s="5">
        <f t="shared" si="11"/>
        <v>0</v>
      </c>
      <c r="K29" s="5">
        <f t="shared" si="11"/>
        <v>0</v>
      </c>
      <c r="L29" s="5">
        <f t="shared" si="11"/>
        <v>0</v>
      </c>
      <c r="M29" s="5">
        <f t="shared" si="11"/>
        <v>0</v>
      </c>
      <c r="N29" s="5">
        <f t="shared" si="11"/>
        <v>0.8987612131567706</v>
      </c>
      <c r="O29" s="5">
        <f t="shared" si="11"/>
        <v>0</v>
      </c>
      <c r="P29" s="5">
        <f t="shared" si="11"/>
        <v>0</v>
      </c>
      <c r="Q29" s="5">
        <f t="shared" si="11"/>
        <v>0</v>
      </c>
      <c r="R29" s="5">
        <f t="shared" si="11"/>
        <v>0</v>
      </c>
      <c r="S29" s="5">
        <f t="shared" si="11"/>
        <v>0</v>
      </c>
      <c r="T29" s="5">
        <f t="shared" si="11"/>
        <v>0</v>
      </c>
      <c r="U29" s="5">
        <f t="shared" si="11"/>
        <v>0</v>
      </c>
      <c r="V29" s="5">
        <f t="shared" si="11"/>
        <v>0</v>
      </c>
      <c r="W29" s="5">
        <f t="shared" si="11"/>
        <v>0</v>
      </c>
      <c r="X29" s="5">
        <f t="shared" si="11"/>
        <v>0</v>
      </c>
      <c r="Y29" s="5">
        <f t="shared" si="11"/>
        <v>0</v>
      </c>
      <c r="Z29" s="5">
        <f t="shared" si="11"/>
        <v>0</v>
      </c>
      <c r="AA29" s="5">
        <f t="shared" si="11"/>
        <v>1.0708949028723228E-2</v>
      </c>
      <c r="AB29" s="5">
        <f t="shared" si="11"/>
        <v>0</v>
      </c>
      <c r="AC29" s="5">
        <f t="shared" si="11"/>
        <v>4.4164734459534063E-4</v>
      </c>
      <c r="AD29" s="5">
        <f t="shared" si="11"/>
        <v>0</v>
      </c>
      <c r="AE29" s="5">
        <f t="shared" si="11"/>
        <v>0</v>
      </c>
      <c r="AF29" s="5">
        <f t="shared" si="11"/>
        <v>1.5780730897009966E-2</v>
      </c>
      <c r="AG29" s="5">
        <f t="shared" si="11"/>
        <v>2.4316109422492401E-2</v>
      </c>
      <c r="AH29" s="5">
        <f t="shared" si="11"/>
        <v>1.053740779768177E-3</v>
      </c>
      <c r="AI29" s="5">
        <f t="shared" si="11"/>
        <v>1.2859884836852208E-2</v>
      </c>
      <c r="AJ29" s="5">
        <f t="shared" si="11"/>
        <v>6.607513686992637E-3</v>
      </c>
      <c r="AK29" s="5">
        <f t="shared" si="11"/>
        <v>0</v>
      </c>
      <c r="AL29" s="5">
        <f t="shared" si="11"/>
        <v>2.6241421073879695E-3</v>
      </c>
      <c r="AM29" s="5">
        <f t="shared" si="11"/>
        <v>1.0706638115631692E-3</v>
      </c>
      <c r="AN29" s="5">
        <f t="shared" si="11"/>
        <v>0.94041450777202074</v>
      </c>
      <c r="AO29" s="5">
        <f t="shared" si="11"/>
        <v>3.1253475697920141E-2</v>
      </c>
      <c r="AP29" s="5">
        <f t="shared" si="11"/>
        <v>0.12928655892786756</v>
      </c>
      <c r="AQ29" s="5">
        <f t="shared" si="11"/>
        <v>2.4478538183071885E-2</v>
      </c>
      <c r="AR29" s="5">
        <f t="shared" si="11"/>
        <v>4.2999999999999997E-2</v>
      </c>
      <c r="AS29" s="5">
        <f t="shared" si="11"/>
        <v>0.77050938337801611</v>
      </c>
      <c r="AT29" s="5">
        <f t="shared" si="11"/>
        <v>7.7691453940066596E-3</v>
      </c>
      <c r="AU29" s="5">
        <f t="shared" si="11"/>
        <v>1.7717033662363959E-3</v>
      </c>
      <c r="AV29" s="5">
        <f t="shared" si="11"/>
        <v>0</v>
      </c>
      <c r="AW29" s="5">
        <f t="shared" si="11"/>
        <v>4.5734738516603696E-3</v>
      </c>
      <c r="AX29" s="5">
        <f t="shared" si="11"/>
        <v>4.5379386367811865E-2</v>
      </c>
      <c r="AY29" s="5">
        <f t="shared" si="11"/>
        <v>0</v>
      </c>
      <c r="AZ29" s="5">
        <f t="shared" si="11"/>
        <v>0</v>
      </c>
      <c r="BA29" s="5">
        <f t="shared" si="11"/>
        <v>0</v>
      </c>
      <c r="BB29" s="5">
        <f t="shared" si="11"/>
        <v>7.5640504270028469E-2</v>
      </c>
      <c r="BC29" s="5">
        <f t="shared" si="11"/>
        <v>1</v>
      </c>
      <c r="BD29" s="5">
        <f t="shared" si="11"/>
        <v>0.42669584245076586</v>
      </c>
      <c r="BE29" s="5">
        <f t="shared" si="11"/>
        <v>9.0675113838843788E-2</v>
      </c>
      <c r="BF29" s="5">
        <f t="shared" si="11"/>
        <v>7.8066914498141265E-2</v>
      </c>
      <c r="BG29" s="5">
        <f t="shared" si="11"/>
        <v>3.0612244897959182E-3</v>
      </c>
      <c r="BH29" s="5">
        <f t="shared" ref="BH29" si="12">BH28/BH12</f>
        <v>0.48138085344414255</v>
      </c>
      <c r="BI29" s="5">
        <f t="shared" si="11"/>
        <v>5.905511811023622E-3</v>
      </c>
      <c r="BJ29" s="5">
        <f t="shared" si="11"/>
        <v>3.8437693738375696E-2</v>
      </c>
      <c r="BK29" s="5">
        <f t="shared" si="11"/>
        <v>0.10566298342541436</v>
      </c>
      <c r="BL29" s="5">
        <f t="shared" si="11"/>
        <v>1.2959422137242405E-2</v>
      </c>
      <c r="BM29" s="5">
        <f t="shared" si="11"/>
        <v>0</v>
      </c>
      <c r="BN29" s="5">
        <f t="shared" si="11"/>
        <v>0</v>
      </c>
      <c r="BO29" s="5">
        <f t="shared" ref="BO29:BZ29" si="13">BO28/BO12</f>
        <v>0</v>
      </c>
      <c r="BP29" s="5">
        <f t="shared" si="13"/>
        <v>0</v>
      </c>
      <c r="BQ29" s="5">
        <f t="shared" si="13"/>
        <v>0.68514466326282519</v>
      </c>
      <c r="BR29" s="5">
        <f t="shared" si="13"/>
        <v>0</v>
      </c>
      <c r="BS29" s="5">
        <f t="shared" si="13"/>
        <v>0</v>
      </c>
      <c r="BT29" s="5">
        <f t="shared" si="13"/>
        <v>0</v>
      </c>
      <c r="BU29" s="5">
        <f t="shared" si="13"/>
        <v>0</v>
      </c>
      <c r="BV29" s="5">
        <f t="shared" si="13"/>
        <v>0</v>
      </c>
      <c r="BW29" s="5">
        <f t="shared" si="13"/>
        <v>0</v>
      </c>
      <c r="BX29" s="5">
        <f t="shared" si="13"/>
        <v>1.4374700527072352E-3</v>
      </c>
      <c r="BY29" s="5">
        <f t="shared" si="13"/>
        <v>3.0820958251611096E-2</v>
      </c>
      <c r="BZ29" s="5">
        <f t="shared" si="13"/>
        <v>2.598322900673202E-3</v>
      </c>
      <c r="CB29" s="33"/>
    </row>
    <row r="30" spans="1:80" x14ac:dyDescent="0.2">
      <c r="B30" s="38" t="s">
        <v>172</v>
      </c>
      <c r="C30" s="12">
        <v>134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B30" s="33" t="s">
        <v>180</v>
      </c>
    </row>
    <row r="31" spans="1:80" x14ac:dyDescent="0.2">
      <c r="B31" s="38" t="s">
        <v>170</v>
      </c>
      <c r="C31" s="5"/>
      <c r="D31" s="5">
        <f>D29*$C30</f>
        <v>3.0950896132480872</v>
      </c>
      <c r="E31" s="5">
        <f t="shared" ref="E31:BN31" si="14">E29*$C30</f>
        <v>0</v>
      </c>
      <c r="F31" s="5">
        <f t="shared" si="14"/>
        <v>0.1947674418604651</v>
      </c>
      <c r="G31" s="5">
        <f t="shared" si="14"/>
        <v>0</v>
      </c>
      <c r="H31" s="5">
        <f t="shared" si="14"/>
        <v>0</v>
      </c>
      <c r="I31" s="5">
        <f t="shared" si="14"/>
        <v>0</v>
      </c>
      <c r="J31" s="5">
        <f t="shared" si="14"/>
        <v>0</v>
      </c>
      <c r="K31" s="5">
        <f t="shared" si="14"/>
        <v>0</v>
      </c>
      <c r="L31" s="5">
        <f t="shared" si="14"/>
        <v>0</v>
      </c>
      <c r="M31" s="5">
        <f t="shared" si="14"/>
        <v>0</v>
      </c>
      <c r="N31" s="5">
        <f t="shared" si="14"/>
        <v>120.43400256300725</v>
      </c>
      <c r="O31" s="5">
        <f t="shared" si="14"/>
        <v>0</v>
      </c>
      <c r="P31" s="5">
        <f t="shared" si="14"/>
        <v>0</v>
      </c>
      <c r="Q31" s="5">
        <f t="shared" si="14"/>
        <v>0</v>
      </c>
      <c r="R31" s="5">
        <f t="shared" si="14"/>
        <v>0</v>
      </c>
      <c r="S31" s="5">
        <f t="shared" si="14"/>
        <v>0</v>
      </c>
      <c r="T31" s="5">
        <f t="shared" si="14"/>
        <v>0</v>
      </c>
      <c r="U31" s="5">
        <f t="shared" si="14"/>
        <v>0</v>
      </c>
      <c r="V31" s="5">
        <f t="shared" si="14"/>
        <v>0</v>
      </c>
      <c r="W31" s="5">
        <f t="shared" si="14"/>
        <v>0</v>
      </c>
      <c r="X31" s="5">
        <f t="shared" si="14"/>
        <v>0</v>
      </c>
      <c r="Y31" s="5">
        <f t="shared" si="14"/>
        <v>0</v>
      </c>
      <c r="Z31" s="5">
        <f t="shared" si="14"/>
        <v>0</v>
      </c>
      <c r="AA31" s="5">
        <f t="shared" si="14"/>
        <v>1.4349991698489124</v>
      </c>
      <c r="AB31" s="5">
        <f t="shared" si="14"/>
        <v>0</v>
      </c>
      <c r="AC31" s="5">
        <f t="shared" si="14"/>
        <v>5.9180744175775644E-2</v>
      </c>
      <c r="AD31" s="5">
        <f t="shared" si="14"/>
        <v>0</v>
      </c>
      <c r="AE31" s="5">
        <f t="shared" si="14"/>
        <v>0</v>
      </c>
      <c r="AF31" s="5">
        <f t="shared" si="14"/>
        <v>2.1146179401993352</v>
      </c>
      <c r="AG31" s="5">
        <f t="shared" si="14"/>
        <v>3.2583586626139818</v>
      </c>
      <c r="AH31" s="5">
        <f t="shared" si="14"/>
        <v>0.14120126448893572</v>
      </c>
      <c r="AI31" s="5">
        <f t="shared" si="14"/>
        <v>1.7232245681381959</v>
      </c>
      <c r="AJ31" s="5">
        <f t="shared" si="14"/>
        <v>0.88540683405701337</v>
      </c>
      <c r="AK31" s="5">
        <f t="shared" si="14"/>
        <v>0</v>
      </c>
      <c r="AL31" s="5">
        <f t="shared" si="14"/>
        <v>0.35163504238998788</v>
      </c>
      <c r="AM31" s="5">
        <f t="shared" si="14"/>
        <v>0.14346895074946467</v>
      </c>
      <c r="AN31" s="5">
        <f t="shared" si="14"/>
        <v>126.01554404145078</v>
      </c>
      <c r="AO31" s="5">
        <f t="shared" si="14"/>
        <v>4.1879657435212989</v>
      </c>
      <c r="AP31" s="5">
        <f t="shared" si="14"/>
        <v>17.324398896334252</v>
      </c>
      <c r="AQ31" s="5">
        <f t="shared" si="14"/>
        <v>3.2801241165316326</v>
      </c>
      <c r="AR31" s="5">
        <f t="shared" si="14"/>
        <v>5.7619999999999996</v>
      </c>
      <c r="AS31" s="5">
        <f t="shared" si="14"/>
        <v>103.24825737265417</v>
      </c>
      <c r="AT31" s="5">
        <f t="shared" si="14"/>
        <v>1.0410654827968924</v>
      </c>
      <c r="AU31" s="5">
        <f t="shared" si="14"/>
        <v>0.23740825107567706</v>
      </c>
      <c r="AV31" s="5">
        <f t="shared" si="14"/>
        <v>0</v>
      </c>
      <c r="AW31" s="5">
        <f t="shared" si="14"/>
        <v>0.61284549612248951</v>
      </c>
      <c r="AX31" s="5">
        <f t="shared" si="14"/>
        <v>6.08083777328679</v>
      </c>
      <c r="AY31" s="5">
        <f t="shared" si="14"/>
        <v>0</v>
      </c>
      <c r="AZ31" s="5">
        <f t="shared" si="14"/>
        <v>0</v>
      </c>
      <c r="BA31" s="5">
        <f t="shared" si="14"/>
        <v>0</v>
      </c>
      <c r="BB31" s="5">
        <f t="shared" si="14"/>
        <v>10.135827572183814</v>
      </c>
      <c r="BC31" s="5">
        <f t="shared" si="14"/>
        <v>134</v>
      </c>
      <c r="BD31" s="5">
        <f t="shared" si="14"/>
        <v>57.177242888402624</v>
      </c>
      <c r="BE31" s="5">
        <f t="shared" si="14"/>
        <v>12.150465254405068</v>
      </c>
      <c r="BF31" s="5">
        <f t="shared" si="14"/>
        <v>10.46096654275093</v>
      </c>
      <c r="BG31" s="5">
        <f t="shared" si="14"/>
        <v>0.41020408163265304</v>
      </c>
      <c r="BH31" s="5">
        <f t="shared" ref="BH31" si="15">BH29*$C30</f>
        <v>64.505034361515101</v>
      </c>
      <c r="BI31" s="5">
        <f t="shared" si="14"/>
        <v>0.79133858267716539</v>
      </c>
      <c r="BJ31" s="5">
        <f t="shared" si="14"/>
        <v>5.1506509609423432</v>
      </c>
      <c r="BK31" s="5">
        <f t="shared" si="14"/>
        <v>14.158839779005524</v>
      </c>
      <c r="BL31" s="5">
        <f t="shared" si="14"/>
        <v>1.7365625663904822</v>
      </c>
      <c r="BM31" s="5">
        <f t="shared" si="14"/>
        <v>0</v>
      </c>
      <c r="BN31" s="5">
        <f t="shared" si="14"/>
        <v>0</v>
      </c>
      <c r="BO31" s="5">
        <f t="shared" ref="BO31:BZ31" si="16">BO29*$C30</f>
        <v>0</v>
      </c>
      <c r="BP31" s="5">
        <f t="shared" si="16"/>
        <v>0</v>
      </c>
      <c r="BQ31" s="5">
        <f t="shared" si="16"/>
        <v>91.809384877218577</v>
      </c>
      <c r="BR31" s="5">
        <f t="shared" si="16"/>
        <v>0</v>
      </c>
      <c r="BS31" s="5">
        <f t="shared" si="16"/>
        <v>0</v>
      </c>
      <c r="BT31" s="5">
        <f t="shared" si="16"/>
        <v>0</v>
      </c>
      <c r="BU31" s="5">
        <f t="shared" si="16"/>
        <v>0</v>
      </c>
      <c r="BV31" s="5">
        <f t="shared" si="16"/>
        <v>0</v>
      </c>
      <c r="BW31" s="5">
        <f t="shared" si="16"/>
        <v>0</v>
      </c>
      <c r="BX31" s="5">
        <f t="shared" si="16"/>
        <v>0.19262098706276951</v>
      </c>
      <c r="BY31" s="5">
        <f t="shared" si="16"/>
        <v>4.1300084057158868</v>
      </c>
      <c r="BZ31" s="5">
        <f t="shared" si="16"/>
        <v>0.34817526869020904</v>
      </c>
      <c r="CB31" s="33"/>
    </row>
    <row r="32" spans="1:80" x14ac:dyDescent="0.2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B32" s="33"/>
    </row>
    <row r="33" spans="1:80" s="32" customFormat="1" x14ac:dyDescent="0.2">
      <c r="A33" s="21"/>
      <c r="B33" s="32" t="s">
        <v>171</v>
      </c>
      <c r="C33" s="15"/>
      <c r="D33" s="15">
        <f t="shared" ref="D33:AI33" si="17">D31*D12</f>
        <v>236242</v>
      </c>
      <c r="E33" s="15">
        <f t="shared" si="17"/>
        <v>0</v>
      </c>
      <c r="F33" s="15">
        <f t="shared" si="17"/>
        <v>268</v>
      </c>
      <c r="G33" s="15">
        <f t="shared" si="17"/>
        <v>0</v>
      </c>
      <c r="H33" s="15">
        <f t="shared" si="17"/>
        <v>0</v>
      </c>
      <c r="I33" s="15">
        <f t="shared" si="17"/>
        <v>0</v>
      </c>
      <c r="J33" s="15">
        <f t="shared" si="17"/>
        <v>0</v>
      </c>
      <c r="K33" s="15">
        <f t="shared" si="17"/>
        <v>0</v>
      </c>
      <c r="L33" s="15">
        <f t="shared" si="17"/>
        <v>0</v>
      </c>
      <c r="M33" s="15">
        <f t="shared" si="17"/>
        <v>0</v>
      </c>
      <c r="N33" s="15">
        <f t="shared" si="17"/>
        <v>281936</v>
      </c>
      <c r="O33" s="15">
        <f t="shared" si="17"/>
        <v>0</v>
      </c>
      <c r="P33" s="15">
        <f t="shared" si="17"/>
        <v>0</v>
      </c>
      <c r="Q33" s="15">
        <f t="shared" si="17"/>
        <v>0</v>
      </c>
      <c r="R33" s="15">
        <f t="shared" si="17"/>
        <v>0</v>
      </c>
      <c r="S33" s="15">
        <f t="shared" si="17"/>
        <v>0</v>
      </c>
      <c r="T33" s="15">
        <f t="shared" si="17"/>
        <v>0</v>
      </c>
      <c r="U33" s="15">
        <f t="shared" si="17"/>
        <v>0</v>
      </c>
      <c r="V33" s="15">
        <f t="shared" si="17"/>
        <v>0</v>
      </c>
      <c r="W33" s="15">
        <f t="shared" si="17"/>
        <v>0</v>
      </c>
      <c r="X33" s="15">
        <f t="shared" si="17"/>
        <v>0</v>
      </c>
      <c r="Y33" s="15">
        <f t="shared" si="17"/>
        <v>0</v>
      </c>
      <c r="Z33" s="15">
        <f t="shared" si="17"/>
        <v>0</v>
      </c>
      <c r="AA33" s="15">
        <f t="shared" si="17"/>
        <v>17286</v>
      </c>
      <c r="AB33" s="15">
        <f t="shared" si="17"/>
        <v>0</v>
      </c>
      <c r="AC33" s="15">
        <f t="shared" si="17"/>
        <v>536</v>
      </c>
      <c r="AD33" s="15">
        <f t="shared" si="17"/>
        <v>0</v>
      </c>
      <c r="AE33" s="15">
        <f t="shared" si="17"/>
        <v>0</v>
      </c>
      <c r="AF33" s="15">
        <f t="shared" si="17"/>
        <v>7637.9999999999991</v>
      </c>
      <c r="AG33" s="15">
        <f t="shared" si="17"/>
        <v>23584</v>
      </c>
      <c r="AH33" s="15">
        <f t="shared" si="17"/>
        <v>1876</v>
      </c>
      <c r="AI33" s="15">
        <f t="shared" si="17"/>
        <v>8978</v>
      </c>
      <c r="AJ33" s="15">
        <f t="shared" ref="AJ33:BM33" si="18">AJ31*AJ12</f>
        <v>4690</v>
      </c>
      <c r="AK33" s="15">
        <f t="shared" si="18"/>
        <v>0</v>
      </c>
      <c r="AL33" s="15">
        <f t="shared" si="18"/>
        <v>1742</v>
      </c>
      <c r="AM33" s="15">
        <f t="shared" si="18"/>
        <v>938</v>
      </c>
      <c r="AN33" s="15">
        <f t="shared" si="18"/>
        <v>194568</v>
      </c>
      <c r="AO33" s="15">
        <f t="shared" si="18"/>
        <v>37654</v>
      </c>
      <c r="AP33" s="15">
        <f t="shared" si="18"/>
        <v>87904</v>
      </c>
      <c r="AQ33" s="15">
        <f t="shared" si="18"/>
        <v>19028</v>
      </c>
      <c r="AR33" s="15">
        <f t="shared" si="18"/>
        <v>17286</v>
      </c>
      <c r="AS33" s="15">
        <f t="shared" si="18"/>
        <v>192558.00000000003</v>
      </c>
      <c r="AT33" s="15">
        <f t="shared" si="18"/>
        <v>1876</v>
      </c>
      <c r="AU33" s="15">
        <f t="shared" si="18"/>
        <v>938.00000000000011</v>
      </c>
      <c r="AV33" s="15">
        <f t="shared" si="18"/>
        <v>0</v>
      </c>
      <c r="AW33" s="15">
        <f t="shared" si="18"/>
        <v>3081.9999999999995</v>
      </c>
      <c r="AX33" s="15">
        <f t="shared" si="18"/>
        <v>33098</v>
      </c>
      <c r="AY33" s="15">
        <f t="shared" si="18"/>
        <v>0</v>
      </c>
      <c r="AZ33" s="15">
        <f t="shared" si="18"/>
        <v>0</v>
      </c>
      <c r="BA33" s="15">
        <f t="shared" si="18"/>
        <v>0</v>
      </c>
      <c r="BB33" s="15">
        <f t="shared" si="18"/>
        <v>99696</v>
      </c>
      <c r="BC33" s="15">
        <f t="shared" si="18"/>
        <v>349338</v>
      </c>
      <c r="BD33" s="15">
        <f t="shared" si="18"/>
        <v>209040</v>
      </c>
      <c r="BE33" s="15">
        <f t="shared" si="18"/>
        <v>61372</v>
      </c>
      <c r="BF33" s="15">
        <f t="shared" si="18"/>
        <v>92862</v>
      </c>
      <c r="BG33" s="15">
        <f t="shared" si="18"/>
        <v>804</v>
      </c>
      <c r="BH33" s="15">
        <f t="shared" ref="BH33" si="19">BH31*BH12</f>
        <v>403608</v>
      </c>
      <c r="BI33" s="15">
        <f t="shared" si="18"/>
        <v>4020</v>
      </c>
      <c r="BJ33" s="15">
        <f t="shared" si="18"/>
        <v>8308</v>
      </c>
      <c r="BK33" s="15">
        <f t="shared" si="18"/>
        <v>41003.999999999993</v>
      </c>
      <c r="BL33" s="15">
        <f t="shared" si="18"/>
        <v>16348</v>
      </c>
      <c r="BM33" s="15">
        <f t="shared" si="18"/>
        <v>0</v>
      </c>
      <c r="BN33" s="15">
        <f t="shared" ref="BN33:BZ33" si="20">BN31*BN12</f>
        <v>0</v>
      </c>
      <c r="BO33" s="15">
        <f t="shared" si="20"/>
        <v>0</v>
      </c>
      <c r="BP33" s="15">
        <f t="shared" si="20"/>
        <v>0</v>
      </c>
      <c r="BQ33" s="15">
        <f t="shared" si="20"/>
        <v>377612</v>
      </c>
      <c r="BR33" s="15">
        <f t="shared" si="20"/>
        <v>0</v>
      </c>
      <c r="BS33" s="15">
        <f t="shared" si="20"/>
        <v>0</v>
      </c>
      <c r="BT33" s="15">
        <f t="shared" si="20"/>
        <v>0</v>
      </c>
      <c r="BU33" s="15">
        <f t="shared" si="20"/>
        <v>0</v>
      </c>
      <c r="BV33" s="15">
        <f t="shared" si="20"/>
        <v>0</v>
      </c>
      <c r="BW33" s="15">
        <f t="shared" si="20"/>
        <v>0</v>
      </c>
      <c r="BX33" s="15">
        <f t="shared" si="20"/>
        <v>401.99999999999994</v>
      </c>
      <c r="BY33" s="15">
        <f t="shared" si="20"/>
        <v>14740</v>
      </c>
      <c r="BZ33" s="15">
        <f t="shared" si="20"/>
        <v>2948</v>
      </c>
      <c r="CA33" s="21"/>
      <c r="CB33" s="33"/>
    </row>
    <row r="34" spans="1:80" x14ac:dyDescent="0.2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B34" s="33"/>
    </row>
    <row r="35" spans="1:80" s="32" customFormat="1" x14ac:dyDescent="0.2">
      <c r="A35" s="63" t="s">
        <v>137</v>
      </c>
      <c r="B35" s="61" t="s">
        <v>161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1"/>
      <c r="CB35" s="63"/>
    </row>
    <row r="36" spans="1:80" x14ac:dyDescent="0.2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B36" s="33"/>
    </row>
    <row r="37" spans="1:80" s="32" customFormat="1" x14ac:dyDescent="0.2">
      <c r="A37" s="30"/>
      <c r="B37" s="30" t="s">
        <v>245</v>
      </c>
      <c r="C37" s="73">
        <f>SUM(D37:BZ37)</f>
        <v>88554.558476328006</v>
      </c>
      <c r="D37" s="44">
        <v>6663.5850673456898</v>
      </c>
      <c r="E37" s="44">
        <v>0</v>
      </c>
      <c r="F37" s="44">
        <v>0</v>
      </c>
      <c r="G37" s="44">
        <v>0</v>
      </c>
      <c r="H37" s="44">
        <v>1416.34568407917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3386.4689986155199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1303.7378212660001</v>
      </c>
      <c r="AC37" s="44">
        <v>4634.3461075320001</v>
      </c>
      <c r="AD37" s="44">
        <v>0</v>
      </c>
      <c r="AE37" s="44">
        <v>6275.2120479225196</v>
      </c>
      <c r="AF37" s="44">
        <v>0</v>
      </c>
      <c r="AG37" s="44">
        <v>0</v>
      </c>
      <c r="AH37" s="44">
        <v>0</v>
      </c>
      <c r="AI37" s="44">
        <v>0</v>
      </c>
      <c r="AJ37" s="44">
        <v>2878.4221785369</v>
      </c>
      <c r="AK37" s="44">
        <v>0</v>
      </c>
      <c r="AL37" s="44">
        <v>0</v>
      </c>
      <c r="AM37" s="44">
        <v>0</v>
      </c>
      <c r="AN37" s="44">
        <v>10487.3975728199</v>
      </c>
      <c r="AO37" s="44">
        <v>0</v>
      </c>
      <c r="AP37" s="44">
        <v>0</v>
      </c>
      <c r="AQ37" s="44">
        <v>2706.9270353473698</v>
      </c>
      <c r="AR37" s="44">
        <v>3227.3218332896499</v>
      </c>
      <c r="AS37" s="44">
        <v>0</v>
      </c>
      <c r="AT37" s="44">
        <v>0</v>
      </c>
      <c r="AU37" s="44">
        <v>0</v>
      </c>
      <c r="AV37" s="44">
        <v>0</v>
      </c>
      <c r="AW37" s="44">
        <v>0</v>
      </c>
      <c r="AX37" s="44">
        <v>4689.7286970305104</v>
      </c>
      <c r="AY37" s="44">
        <v>0</v>
      </c>
      <c r="AZ37" s="44">
        <v>0</v>
      </c>
      <c r="BA37" s="44">
        <v>4402.5640876747202</v>
      </c>
      <c r="BB37" s="44">
        <v>4344.7968869279102</v>
      </c>
      <c r="BC37" s="44">
        <v>3807.5102622965201</v>
      </c>
      <c r="BD37" s="44">
        <v>0</v>
      </c>
      <c r="BE37" s="44">
        <v>0</v>
      </c>
      <c r="BF37" s="44">
        <v>0</v>
      </c>
      <c r="BG37" s="44">
        <v>0</v>
      </c>
      <c r="BH37" s="44">
        <v>9280.8819766349698</v>
      </c>
      <c r="BI37" s="44">
        <v>0</v>
      </c>
      <c r="BJ37" s="44">
        <v>1621.88716564846</v>
      </c>
      <c r="BK37" s="44">
        <v>0</v>
      </c>
      <c r="BL37" s="44">
        <v>4971.8541738863996</v>
      </c>
      <c r="BM37" s="44">
        <v>0</v>
      </c>
      <c r="BN37" s="44">
        <v>0</v>
      </c>
      <c r="BO37" s="44">
        <v>0</v>
      </c>
      <c r="BP37" s="44">
        <v>0</v>
      </c>
      <c r="BQ37" s="44">
        <v>0</v>
      </c>
      <c r="BR37" s="44">
        <v>0</v>
      </c>
      <c r="BS37" s="44">
        <v>0</v>
      </c>
      <c r="BT37" s="44">
        <v>4110.0768372115299</v>
      </c>
      <c r="BU37" s="44">
        <v>0</v>
      </c>
      <c r="BV37" s="44">
        <v>2216.7632924444401</v>
      </c>
      <c r="BW37" s="44">
        <v>0</v>
      </c>
      <c r="BX37" s="44">
        <v>0</v>
      </c>
      <c r="BY37" s="44">
        <v>3701.67700938814</v>
      </c>
      <c r="BZ37" s="44">
        <v>2427.0537404297002</v>
      </c>
      <c r="CB37" s="30" t="s">
        <v>179</v>
      </c>
    </row>
    <row r="38" spans="1:80" x14ac:dyDescent="0.2">
      <c r="B38" s="3" t="s">
        <v>172</v>
      </c>
      <c r="C38" s="74">
        <v>8.0000000000000002E-3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B38" s="33" t="s">
        <v>180</v>
      </c>
    </row>
    <row r="39" spans="1:80" x14ac:dyDescent="0.2">
      <c r="B39" s="3" t="s">
        <v>170</v>
      </c>
      <c r="C39" s="5"/>
      <c r="D39" s="5">
        <f>D37*$C38</f>
        <v>53.308680538765522</v>
      </c>
      <c r="E39" s="5">
        <f t="shared" ref="E39:BN39" si="21">E37*$C38</f>
        <v>0</v>
      </c>
      <c r="F39" s="5">
        <f t="shared" si="21"/>
        <v>0</v>
      </c>
      <c r="G39" s="5">
        <f t="shared" si="21"/>
        <v>0</v>
      </c>
      <c r="H39" s="5">
        <f t="shared" si="21"/>
        <v>11.330765472633361</v>
      </c>
      <c r="I39" s="5">
        <f t="shared" si="21"/>
        <v>0</v>
      </c>
      <c r="J39" s="5">
        <f t="shared" si="21"/>
        <v>0</v>
      </c>
      <c r="K39" s="5">
        <f t="shared" si="21"/>
        <v>0</v>
      </c>
      <c r="L39" s="5">
        <f t="shared" si="21"/>
        <v>0</v>
      </c>
      <c r="M39" s="5">
        <f t="shared" si="21"/>
        <v>0</v>
      </c>
      <c r="N39" s="5">
        <f t="shared" si="21"/>
        <v>27.091751988924159</v>
      </c>
      <c r="O39" s="5">
        <f t="shared" si="21"/>
        <v>0</v>
      </c>
      <c r="P39" s="5">
        <f t="shared" si="21"/>
        <v>0</v>
      </c>
      <c r="Q39" s="5">
        <f t="shared" si="21"/>
        <v>0</v>
      </c>
      <c r="R39" s="5">
        <f t="shared" si="21"/>
        <v>0</v>
      </c>
      <c r="S39" s="5">
        <f t="shared" si="21"/>
        <v>0</v>
      </c>
      <c r="T39" s="5">
        <f t="shared" si="21"/>
        <v>0</v>
      </c>
      <c r="U39" s="5">
        <f t="shared" si="21"/>
        <v>0</v>
      </c>
      <c r="V39" s="5">
        <f t="shared" si="21"/>
        <v>0</v>
      </c>
      <c r="W39" s="5">
        <f t="shared" si="21"/>
        <v>0</v>
      </c>
      <c r="X39" s="5">
        <f t="shared" si="21"/>
        <v>0</v>
      </c>
      <c r="Y39" s="5">
        <f t="shared" si="21"/>
        <v>0</v>
      </c>
      <c r="Z39" s="5">
        <f t="shared" si="21"/>
        <v>0</v>
      </c>
      <c r="AA39" s="5">
        <f t="shared" si="21"/>
        <v>0</v>
      </c>
      <c r="AB39" s="5">
        <f t="shared" si="21"/>
        <v>10.429902570128</v>
      </c>
      <c r="AC39" s="5">
        <f t="shared" si="21"/>
        <v>37.074768860256</v>
      </c>
      <c r="AD39" s="5">
        <f t="shared" si="21"/>
        <v>0</v>
      </c>
      <c r="AE39" s="5">
        <f t="shared" si="21"/>
        <v>50.20169638338016</v>
      </c>
      <c r="AF39" s="5">
        <f t="shared" si="21"/>
        <v>0</v>
      </c>
      <c r="AG39" s="5">
        <f t="shared" si="21"/>
        <v>0</v>
      </c>
      <c r="AH39" s="5">
        <f t="shared" si="21"/>
        <v>0</v>
      </c>
      <c r="AI39" s="5">
        <f t="shared" si="21"/>
        <v>0</v>
      </c>
      <c r="AJ39" s="5">
        <f t="shared" si="21"/>
        <v>23.0273774282952</v>
      </c>
      <c r="AK39" s="5">
        <f t="shared" si="21"/>
        <v>0</v>
      </c>
      <c r="AL39" s="5">
        <f t="shared" si="21"/>
        <v>0</v>
      </c>
      <c r="AM39" s="5">
        <f t="shared" si="21"/>
        <v>0</v>
      </c>
      <c r="AN39" s="5">
        <f t="shared" si="21"/>
        <v>83.899180582559197</v>
      </c>
      <c r="AO39" s="5">
        <f t="shared" si="21"/>
        <v>0</v>
      </c>
      <c r="AP39" s="5">
        <f t="shared" si="21"/>
        <v>0</v>
      </c>
      <c r="AQ39" s="5">
        <f t="shared" si="21"/>
        <v>21.655416282778958</v>
      </c>
      <c r="AR39" s="5">
        <f t="shared" si="21"/>
        <v>25.8185746663172</v>
      </c>
      <c r="AS39" s="5">
        <f t="shared" si="21"/>
        <v>0</v>
      </c>
      <c r="AT39" s="5">
        <f t="shared" si="21"/>
        <v>0</v>
      </c>
      <c r="AU39" s="5">
        <f t="shared" si="21"/>
        <v>0</v>
      </c>
      <c r="AV39" s="5">
        <f t="shared" si="21"/>
        <v>0</v>
      </c>
      <c r="AW39" s="5">
        <f t="shared" si="21"/>
        <v>0</v>
      </c>
      <c r="AX39" s="5">
        <f t="shared" si="21"/>
        <v>37.517829576244083</v>
      </c>
      <c r="AY39" s="5">
        <f t="shared" si="21"/>
        <v>0</v>
      </c>
      <c r="AZ39" s="5">
        <f t="shared" si="21"/>
        <v>0</v>
      </c>
      <c r="BA39" s="5">
        <f t="shared" si="21"/>
        <v>35.220512701397766</v>
      </c>
      <c r="BB39" s="5">
        <f t="shared" si="21"/>
        <v>34.758375095423283</v>
      </c>
      <c r="BC39" s="5">
        <f t="shared" si="21"/>
        <v>30.460082098372162</v>
      </c>
      <c r="BD39" s="5">
        <f t="shared" si="21"/>
        <v>0</v>
      </c>
      <c r="BE39" s="5">
        <f t="shared" si="21"/>
        <v>0</v>
      </c>
      <c r="BF39" s="5">
        <f t="shared" si="21"/>
        <v>0</v>
      </c>
      <c r="BG39" s="5">
        <f t="shared" si="21"/>
        <v>0</v>
      </c>
      <c r="BH39" s="5">
        <f t="shared" ref="BH39" si="22">BH37*$C38</f>
        <v>74.247055813079754</v>
      </c>
      <c r="BI39" s="5">
        <f t="shared" si="21"/>
        <v>0</v>
      </c>
      <c r="BJ39" s="5">
        <f t="shared" si="21"/>
        <v>12.975097325187681</v>
      </c>
      <c r="BK39" s="5">
        <f t="shared" si="21"/>
        <v>0</v>
      </c>
      <c r="BL39" s="5">
        <f t="shared" si="21"/>
        <v>39.7748333910912</v>
      </c>
      <c r="BM39" s="5">
        <f t="shared" si="21"/>
        <v>0</v>
      </c>
      <c r="BN39" s="5">
        <f t="shared" si="21"/>
        <v>0</v>
      </c>
      <c r="BO39" s="5">
        <f t="shared" ref="BO39:BZ39" si="23">BO37*$C38</f>
        <v>0</v>
      </c>
      <c r="BP39" s="5">
        <f t="shared" si="23"/>
        <v>0</v>
      </c>
      <c r="BQ39" s="5">
        <f t="shared" si="23"/>
        <v>0</v>
      </c>
      <c r="BR39" s="5">
        <f t="shared" si="23"/>
        <v>0</v>
      </c>
      <c r="BS39" s="5">
        <f t="shared" si="23"/>
        <v>0</v>
      </c>
      <c r="BT39" s="5">
        <f t="shared" si="23"/>
        <v>32.880614697692238</v>
      </c>
      <c r="BU39" s="5">
        <f t="shared" si="23"/>
        <v>0</v>
      </c>
      <c r="BV39" s="5">
        <f t="shared" si="23"/>
        <v>17.73410633955552</v>
      </c>
      <c r="BW39" s="5">
        <f t="shared" si="23"/>
        <v>0</v>
      </c>
      <c r="BX39" s="5">
        <f t="shared" si="23"/>
        <v>0</v>
      </c>
      <c r="BY39" s="5">
        <f t="shared" si="23"/>
        <v>29.613416075105121</v>
      </c>
      <c r="BZ39" s="5">
        <f t="shared" si="23"/>
        <v>19.416429923437601</v>
      </c>
      <c r="CB39" s="33"/>
    </row>
    <row r="40" spans="1:80" x14ac:dyDescent="0.2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B40" s="33"/>
    </row>
    <row r="41" spans="1:80" s="32" customFormat="1" x14ac:dyDescent="0.2">
      <c r="A41" s="21"/>
      <c r="B41" s="32" t="s">
        <v>171</v>
      </c>
      <c r="C41" s="15"/>
      <c r="D41" s="15">
        <f t="shared" ref="D41:AI41" si="24">D39*D12</f>
        <v>4068944.9681628947</v>
      </c>
      <c r="E41" s="15">
        <f t="shared" si="24"/>
        <v>0</v>
      </c>
      <c r="F41" s="15">
        <f t="shared" si="24"/>
        <v>0</v>
      </c>
      <c r="G41" s="15">
        <f t="shared" si="24"/>
        <v>0</v>
      </c>
      <c r="H41" s="15">
        <f t="shared" si="24"/>
        <v>41221.324789440172</v>
      </c>
      <c r="I41" s="15">
        <f t="shared" si="24"/>
        <v>0</v>
      </c>
      <c r="J41" s="15">
        <f t="shared" si="24"/>
        <v>0</v>
      </c>
      <c r="K41" s="15">
        <f t="shared" si="24"/>
        <v>0</v>
      </c>
      <c r="L41" s="15">
        <f t="shared" si="24"/>
        <v>0</v>
      </c>
      <c r="M41" s="15">
        <f t="shared" si="24"/>
        <v>0</v>
      </c>
      <c r="N41" s="15">
        <f t="shared" si="24"/>
        <v>63421.791406071454</v>
      </c>
      <c r="O41" s="15">
        <f t="shared" si="24"/>
        <v>0</v>
      </c>
      <c r="P41" s="15">
        <f t="shared" si="24"/>
        <v>0</v>
      </c>
      <c r="Q41" s="15">
        <f t="shared" si="24"/>
        <v>0</v>
      </c>
      <c r="R41" s="15">
        <f t="shared" si="24"/>
        <v>0</v>
      </c>
      <c r="S41" s="15">
        <f t="shared" si="24"/>
        <v>0</v>
      </c>
      <c r="T41" s="15">
        <f t="shared" si="24"/>
        <v>0</v>
      </c>
      <c r="U41" s="15">
        <f t="shared" si="24"/>
        <v>0</v>
      </c>
      <c r="V41" s="15">
        <f t="shared" si="24"/>
        <v>0</v>
      </c>
      <c r="W41" s="15">
        <f t="shared" si="24"/>
        <v>0</v>
      </c>
      <c r="X41" s="15">
        <f t="shared" si="24"/>
        <v>0</v>
      </c>
      <c r="Y41" s="15">
        <f t="shared" si="24"/>
        <v>0</v>
      </c>
      <c r="Z41" s="15">
        <f t="shared" si="24"/>
        <v>0</v>
      </c>
      <c r="AA41" s="15">
        <f t="shared" si="24"/>
        <v>0</v>
      </c>
      <c r="AB41" s="15">
        <f t="shared" si="24"/>
        <v>16030.760250286736</v>
      </c>
      <c r="AC41" s="15">
        <f t="shared" si="24"/>
        <v>335786.18156733859</v>
      </c>
      <c r="AD41" s="15">
        <f t="shared" si="24"/>
        <v>0</v>
      </c>
      <c r="AE41" s="15">
        <f t="shared" si="24"/>
        <v>297445.05107152747</v>
      </c>
      <c r="AF41" s="15">
        <f t="shared" si="24"/>
        <v>0</v>
      </c>
      <c r="AG41" s="15">
        <f t="shared" si="24"/>
        <v>0</v>
      </c>
      <c r="AH41" s="15">
        <f t="shared" si="24"/>
        <v>0</v>
      </c>
      <c r="AI41" s="15">
        <f t="shared" si="24"/>
        <v>0</v>
      </c>
      <c r="AJ41" s="15">
        <f t="shared" ref="AJ41:BM41" si="25">AJ39*AJ12</f>
        <v>121976.01823767967</v>
      </c>
      <c r="AK41" s="15">
        <f t="shared" si="25"/>
        <v>0</v>
      </c>
      <c r="AL41" s="15">
        <f t="shared" si="25"/>
        <v>0</v>
      </c>
      <c r="AM41" s="15">
        <f t="shared" si="25"/>
        <v>0</v>
      </c>
      <c r="AN41" s="15">
        <f t="shared" si="25"/>
        <v>129540.33481947141</v>
      </c>
      <c r="AO41" s="15">
        <f t="shared" si="25"/>
        <v>0</v>
      </c>
      <c r="AP41" s="15">
        <f t="shared" si="25"/>
        <v>0</v>
      </c>
      <c r="AQ41" s="15">
        <f t="shared" si="25"/>
        <v>125623.06985640073</v>
      </c>
      <c r="AR41" s="15">
        <f t="shared" si="25"/>
        <v>77455.723998951595</v>
      </c>
      <c r="AS41" s="15">
        <f t="shared" si="25"/>
        <v>0</v>
      </c>
      <c r="AT41" s="15">
        <f t="shared" si="25"/>
        <v>0</v>
      </c>
      <c r="AU41" s="15">
        <f t="shared" si="25"/>
        <v>0</v>
      </c>
      <c r="AV41" s="15">
        <f t="shared" si="25"/>
        <v>0</v>
      </c>
      <c r="AW41" s="15">
        <f t="shared" si="25"/>
        <v>0</v>
      </c>
      <c r="AX41" s="15">
        <f t="shared" si="25"/>
        <v>204209.54638349655</v>
      </c>
      <c r="AY41" s="15">
        <f t="shared" si="25"/>
        <v>0</v>
      </c>
      <c r="AZ41" s="15">
        <f t="shared" si="25"/>
        <v>0</v>
      </c>
      <c r="BA41" s="15">
        <f t="shared" si="25"/>
        <v>980116.42745449708</v>
      </c>
      <c r="BB41" s="15">
        <f t="shared" si="25"/>
        <v>341883.37743858341</v>
      </c>
      <c r="BC41" s="15">
        <f t="shared" si="25"/>
        <v>79409.434030456221</v>
      </c>
      <c r="BD41" s="15">
        <f t="shared" si="25"/>
        <v>0</v>
      </c>
      <c r="BE41" s="15">
        <f t="shared" si="25"/>
        <v>0</v>
      </c>
      <c r="BF41" s="15">
        <f t="shared" si="25"/>
        <v>0</v>
      </c>
      <c r="BG41" s="15">
        <f t="shared" si="25"/>
        <v>0</v>
      </c>
      <c r="BH41" s="15">
        <f t="shared" ref="BH41" si="26">BH39*BH12</f>
        <v>464563.82822244003</v>
      </c>
      <c r="BI41" s="15">
        <f t="shared" si="25"/>
        <v>0</v>
      </c>
      <c r="BJ41" s="15">
        <f t="shared" si="25"/>
        <v>20928.83198552773</v>
      </c>
      <c r="BK41" s="15">
        <f t="shared" si="25"/>
        <v>0</v>
      </c>
      <c r="BL41" s="15">
        <f t="shared" si="25"/>
        <v>374440.28154373256</v>
      </c>
      <c r="BM41" s="15">
        <f t="shared" si="25"/>
        <v>0</v>
      </c>
      <c r="BN41" s="15">
        <f t="shared" ref="BN41:BZ41" si="27">BN39*BN12</f>
        <v>0</v>
      </c>
      <c r="BO41" s="15">
        <f t="shared" si="27"/>
        <v>0</v>
      </c>
      <c r="BP41" s="15">
        <f t="shared" si="27"/>
        <v>0</v>
      </c>
      <c r="BQ41" s="15">
        <f t="shared" si="27"/>
        <v>0</v>
      </c>
      <c r="BR41" s="15">
        <f t="shared" si="27"/>
        <v>0</v>
      </c>
      <c r="BS41" s="15">
        <f t="shared" si="27"/>
        <v>0</v>
      </c>
      <c r="BT41" s="15">
        <f t="shared" si="27"/>
        <v>149212.22949812739</v>
      </c>
      <c r="BU41" s="15">
        <f t="shared" si="27"/>
        <v>0</v>
      </c>
      <c r="BV41" s="15">
        <f t="shared" si="27"/>
        <v>56429.926372465663</v>
      </c>
      <c r="BW41" s="15">
        <f t="shared" si="27"/>
        <v>0</v>
      </c>
      <c r="BX41" s="15">
        <f t="shared" si="27"/>
        <v>0</v>
      </c>
      <c r="BY41" s="15">
        <f t="shared" si="27"/>
        <v>105690.28197205017</v>
      </c>
      <c r="BZ41" s="15">
        <f t="shared" si="27"/>
        <v>164398.91216174618</v>
      </c>
      <c r="CA41" s="21"/>
      <c r="CB41" s="33"/>
    </row>
    <row r="42" spans="1:80" x14ac:dyDescent="0.2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B42" s="33"/>
    </row>
    <row r="43" spans="1:80" s="32" customFormat="1" x14ac:dyDescent="0.2">
      <c r="A43" s="63" t="s">
        <v>143</v>
      </c>
      <c r="B43" s="61" t="s">
        <v>165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1"/>
      <c r="CB43" s="63"/>
    </row>
    <row r="44" spans="1:80" x14ac:dyDescent="0.2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B44" s="33"/>
    </row>
    <row r="45" spans="1:80" s="32" customFormat="1" x14ac:dyDescent="0.2">
      <c r="A45" s="30"/>
      <c r="B45" s="30" t="s">
        <v>244</v>
      </c>
      <c r="C45" s="73">
        <f>SUM(D45:BZ45)</f>
        <v>198379.10664000001</v>
      </c>
      <c r="D45" s="44">
        <v>3937.9027499999997</v>
      </c>
      <c r="E45" s="44">
        <v>1219.8862899999999</v>
      </c>
      <c r="F45" s="44">
        <v>907.13576000000012</v>
      </c>
      <c r="G45" s="44">
        <v>1032.60483</v>
      </c>
      <c r="H45" s="44">
        <v>983.80484000000001</v>
      </c>
      <c r="I45" s="44">
        <v>493.55441000000002</v>
      </c>
      <c r="J45" s="44">
        <v>475.64580999999998</v>
      </c>
      <c r="K45" s="44">
        <v>375.54809</v>
      </c>
      <c r="L45" s="44">
        <v>198.92533</v>
      </c>
      <c r="M45" s="44">
        <v>713.53102000000001</v>
      </c>
      <c r="N45" s="44">
        <v>890.26861000000008</v>
      </c>
      <c r="O45" s="44">
        <v>739.52706000000001</v>
      </c>
      <c r="P45" s="44">
        <v>230.66873999999999</v>
      </c>
      <c r="Q45" s="44">
        <v>1061.3524600000001</v>
      </c>
      <c r="R45" s="44">
        <v>220.49409999999997</v>
      </c>
      <c r="S45" s="44">
        <v>686.86050999999998</v>
      </c>
      <c r="T45" s="44">
        <v>465.38316000000003</v>
      </c>
      <c r="U45" s="44">
        <v>562.10793999999999</v>
      </c>
      <c r="V45" s="44">
        <v>652.02472999999998</v>
      </c>
      <c r="W45" s="44">
        <v>1124.5537000000002</v>
      </c>
      <c r="X45" s="44">
        <v>421.82522</v>
      </c>
      <c r="Y45" s="44">
        <v>439.35968000000003</v>
      </c>
      <c r="Z45" s="44">
        <v>438.05007999999998</v>
      </c>
      <c r="AA45" s="44">
        <v>3946.2256600000005</v>
      </c>
      <c r="AB45" s="44">
        <v>543.72095000000002</v>
      </c>
      <c r="AC45" s="44">
        <v>3460.2139000000002</v>
      </c>
      <c r="AD45" s="44">
        <v>933.35056999999995</v>
      </c>
      <c r="AE45" s="44">
        <v>4156.42029</v>
      </c>
      <c r="AF45" s="44">
        <v>2227.3426199999999</v>
      </c>
      <c r="AG45" s="44">
        <v>5464.7331100000001</v>
      </c>
      <c r="AH45" s="44">
        <v>1595.008</v>
      </c>
      <c r="AI45" s="44">
        <v>3032.67929</v>
      </c>
      <c r="AJ45" s="44">
        <v>4175.16255</v>
      </c>
      <c r="AK45" s="44">
        <v>946.38909000000012</v>
      </c>
      <c r="AL45" s="44">
        <v>3271.6750500000003</v>
      </c>
      <c r="AM45" s="44">
        <v>2539.55924</v>
      </c>
      <c r="AN45" s="44">
        <v>12846.140600000001</v>
      </c>
      <c r="AO45" s="44">
        <v>13910.56006</v>
      </c>
      <c r="AP45" s="44">
        <v>7515.4821499999998</v>
      </c>
      <c r="AQ45" s="44">
        <v>4884.1079399999999</v>
      </c>
      <c r="AR45" s="44">
        <v>7321.0383699999993</v>
      </c>
      <c r="AS45" s="44">
        <v>4761.8225400000001</v>
      </c>
      <c r="AT45" s="44">
        <v>574.88234</v>
      </c>
      <c r="AU45" s="44">
        <v>3990.4293299999999</v>
      </c>
      <c r="AV45" s="44">
        <v>1649.5494900000001</v>
      </c>
      <c r="AW45" s="44">
        <v>1864.1369099999999</v>
      </c>
      <c r="AX45" s="44">
        <v>3358.5925400000001</v>
      </c>
      <c r="AY45" s="44">
        <v>753.53891999999996</v>
      </c>
      <c r="AZ45" s="44">
        <v>597.65724999999998</v>
      </c>
      <c r="BA45" s="44">
        <v>3136.8576399999997</v>
      </c>
      <c r="BB45" s="44">
        <v>5489.1676099999995</v>
      </c>
      <c r="BC45" s="44">
        <v>8752.8400199999996</v>
      </c>
      <c r="BD45" s="44">
        <v>9270.165140000001</v>
      </c>
      <c r="BE45" s="44">
        <v>4354.5886600000003</v>
      </c>
      <c r="BF45" s="44">
        <v>5117.5464599999996</v>
      </c>
      <c r="BG45" s="44">
        <v>282.00812999999999</v>
      </c>
      <c r="BH45" s="44">
        <v>8184.0326000000005</v>
      </c>
      <c r="BI45" s="44">
        <v>2183.38481</v>
      </c>
      <c r="BJ45" s="44">
        <v>1409.60429</v>
      </c>
      <c r="BK45" s="44">
        <v>5051.0874899999999</v>
      </c>
      <c r="BL45" s="44">
        <v>4253.9729900000002</v>
      </c>
      <c r="BM45" s="44">
        <v>1099.4985899999999</v>
      </c>
      <c r="BN45" s="44">
        <v>1407.6019000000001</v>
      </c>
      <c r="BO45" s="44">
        <v>1449.5028</v>
      </c>
      <c r="BP45" s="44">
        <v>1146.90094</v>
      </c>
      <c r="BQ45" s="44">
        <v>1447.74316</v>
      </c>
      <c r="BR45" s="44">
        <v>2081.6392000000001</v>
      </c>
      <c r="BS45" s="44">
        <v>896.7339300000001</v>
      </c>
      <c r="BT45" s="44">
        <v>1773.1269399999999</v>
      </c>
      <c r="BU45" s="44">
        <v>1583.6607000000001</v>
      </c>
      <c r="BV45" s="44">
        <v>1637.1691599999999</v>
      </c>
      <c r="BW45" s="44">
        <v>2750.6227699999999</v>
      </c>
      <c r="BX45" s="44">
        <v>630.62275</v>
      </c>
      <c r="BY45" s="44">
        <v>3134.3092099999999</v>
      </c>
      <c r="BZ45" s="44">
        <v>1263.28487</v>
      </c>
      <c r="CB45" s="30" t="s">
        <v>179</v>
      </c>
    </row>
    <row r="46" spans="1:80" x14ac:dyDescent="0.2">
      <c r="B46" s="3" t="s">
        <v>168</v>
      </c>
      <c r="C46" s="5"/>
      <c r="D46" s="5">
        <f>D45/D12</f>
        <v>5.1591850303951366E-2</v>
      </c>
      <c r="E46" s="5">
        <f t="shared" ref="E46:BN46" si="28">E45/E12</f>
        <v>0.12388405504214481</v>
      </c>
      <c r="F46" s="5">
        <f t="shared" si="28"/>
        <v>0.65925563953488375</v>
      </c>
      <c r="G46" s="5">
        <f t="shared" si="28"/>
        <v>0.83140485507246376</v>
      </c>
      <c r="H46" s="5">
        <f t="shared" si="28"/>
        <v>0.27042463991203958</v>
      </c>
      <c r="I46" s="5">
        <f t="shared" si="28"/>
        <v>5.1838505409095688E-2</v>
      </c>
      <c r="J46" s="5">
        <f t="shared" si="28"/>
        <v>0.13364591458274797</v>
      </c>
      <c r="K46" s="5">
        <f t="shared" si="28"/>
        <v>0.41497026519337016</v>
      </c>
      <c r="L46" s="5">
        <f t="shared" si="28"/>
        <v>0.12550494006309149</v>
      </c>
      <c r="M46" s="5">
        <f t="shared" si="28"/>
        <v>0.69140602713178301</v>
      </c>
      <c r="N46" s="5">
        <f t="shared" si="28"/>
        <v>0.38029415207176426</v>
      </c>
      <c r="O46" s="5">
        <f t="shared" si="28"/>
        <v>9.7408727608008436E-2</v>
      </c>
      <c r="P46" s="5">
        <f t="shared" si="28"/>
        <v>2.4166447354635932E-2</v>
      </c>
      <c r="Q46" s="5">
        <f t="shared" si="28"/>
        <v>0.15679604963805585</v>
      </c>
      <c r="R46" s="5">
        <f t="shared" si="28"/>
        <v>6.3708205720889907E-2</v>
      </c>
      <c r="S46" s="5">
        <f t="shared" si="28"/>
        <v>0.11284056349597503</v>
      </c>
      <c r="T46" s="5">
        <f t="shared" si="28"/>
        <v>5.7854694181999011E-2</v>
      </c>
      <c r="U46" s="5">
        <f t="shared" si="28"/>
        <v>0.14155324603374464</v>
      </c>
      <c r="V46" s="5">
        <f t="shared" si="28"/>
        <v>0.13053548148148147</v>
      </c>
      <c r="W46" s="5">
        <f t="shared" si="28"/>
        <v>0.16707082157183184</v>
      </c>
      <c r="X46" s="5">
        <f t="shared" si="28"/>
        <v>4.1785559187716689E-2</v>
      </c>
      <c r="Y46" s="5">
        <f t="shared" si="28"/>
        <v>9.1115653255910423E-2</v>
      </c>
      <c r="Z46" s="5">
        <f t="shared" si="28"/>
        <v>0.20800098765432098</v>
      </c>
      <c r="AA46" s="5">
        <f t="shared" si="28"/>
        <v>0.32759635231612155</v>
      </c>
      <c r="AB46" s="5">
        <f t="shared" si="28"/>
        <v>0.35375468445022773</v>
      </c>
      <c r="AC46" s="5">
        <f t="shared" si="28"/>
        <v>0.38204857016672189</v>
      </c>
      <c r="AD46" s="5">
        <f t="shared" si="28"/>
        <v>0.3814264691458929</v>
      </c>
      <c r="AE46" s="5">
        <f t="shared" si="28"/>
        <v>0.70150553417721517</v>
      </c>
      <c r="AF46" s="5">
        <f t="shared" si="28"/>
        <v>0.61665078073089696</v>
      </c>
      <c r="AG46" s="5">
        <f t="shared" si="28"/>
        <v>0.75500595606521137</v>
      </c>
      <c r="AH46" s="5">
        <f t="shared" si="28"/>
        <v>0.12005178383260576</v>
      </c>
      <c r="AI46" s="5">
        <f t="shared" si="28"/>
        <v>0.5820881554702495</v>
      </c>
      <c r="AJ46" s="5">
        <f t="shared" si="28"/>
        <v>0.78821267698697373</v>
      </c>
      <c r="AK46" s="5">
        <f t="shared" si="28"/>
        <v>0.15205480237789204</v>
      </c>
      <c r="AL46" s="5">
        <f t="shared" si="28"/>
        <v>0.66041078926120311</v>
      </c>
      <c r="AM46" s="5">
        <f t="shared" si="28"/>
        <v>0.38843059651269501</v>
      </c>
      <c r="AN46" s="5">
        <f t="shared" si="28"/>
        <v>8.3200392487046635</v>
      </c>
      <c r="AO46" s="5">
        <f t="shared" si="28"/>
        <v>1.5471649493938382</v>
      </c>
      <c r="AP46" s="5">
        <f t="shared" si="28"/>
        <v>1.4811750394166339</v>
      </c>
      <c r="AQ46" s="5">
        <f t="shared" si="28"/>
        <v>0.84194241337700393</v>
      </c>
      <c r="AR46" s="5">
        <f t="shared" si="28"/>
        <v>2.4403461233333332</v>
      </c>
      <c r="AS46" s="5">
        <f t="shared" si="28"/>
        <v>2.553256053619303</v>
      </c>
      <c r="AT46" s="5">
        <f t="shared" si="28"/>
        <v>0.31902460599334076</v>
      </c>
      <c r="AU46" s="5">
        <f t="shared" si="28"/>
        <v>1.0099795823842066</v>
      </c>
      <c r="AV46" s="5">
        <f t="shared" si="28"/>
        <v>0.54530561652892562</v>
      </c>
      <c r="AW46" s="5">
        <f t="shared" si="28"/>
        <v>0.37067745277391129</v>
      </c>
      <c r="AX46" s="5">
        <f t="shared" si="28"/>
        <v>0.61704805070733049</v>
      </c>
      <c r="AY46" s="5">
        <f t="shared" si="28"/>
        <v>0.11479873857404022</v>
      </c>
      <c r="AZ46" s="5">
        <f t="shared" si="28"/>
        <v>0.14782519168933958</v>
      </c>
      <c r="BA46" s="5">
        <f t="shared" si="28"/>
        <v>0.1127230717263188</v>
      </c>
      <c r="BB46" s="5">
        <f t="shared" si="28"/>
        <v>0.55806909414396089</v>
      </c>
      <c r="BC46" s="5">
        <f t="shared" si="28"/>
        <v>3.3574376754890678</v>
      </c>
      <c r="BD46" s="5">
        <f t="shared" si="28"/>
        <v>2.5356031564551427</v>
      </c>
      <c r="BE46" s="5">
        <f t="shared" si="28"/>
        <v>0.86212406652148099</v>
      </c>
      <c r="BF46" s="5">
        <f t="shared" si="28"/>
        <v>0.57649503886448117</v>
      </c>
      <c r="BG46" s="5">
        <f t="shared" si="28"/>
        <v>0.14388169897959183</v>
      </c>
      <c r="BH46" s="5">
        <f t="shared" ref="BH46" si="29">BH45/BH12</f>
        <v>1.307980278088541</v>
      </c>
      <c r="BI46" s="5">
        <f t="shared" si="28"/>
        <v>0.42980015944881889</v>
      </c>
      <c r="BJ46" s="5">
        <f t="shared" si="28"/>
        <v>0.87390222566646003</v>
      </c>
      <c r="BK46" s="5">
        <f t="shared" si="28"/>
        <v>1.7441600448895027</v>
      </c>
      <c r="BL46" s="5">
        <f t="shared" si="28"/>
        <v>0.45187730932653497</v>
      </c>
      <c r="BM46" s="5">
        <f t="shared" si="28"/>
        <v>0.28048433418367347</v>
      </c>
      <c r="BN46" s="5">
        <f t="shared" si="28"/>
        <v>0.21411650441131733</v>
      </c>
      <c r="BO46" s="5">
        <f t="shared" ref="BO46:BZ46" si="30">BO45/BO12</f>
        <v>0.10742628029348551</v>
      </c>
      <c r="BP46" s="5">
        <f t="shared" si="30"/>
        <v>0.10981433741861356</v>
      </c>
      <c r="BQ46" s="5">
        <f t="shared" si="30"/>
        <v>0.3519920155604182</v>
      </c>
      <c r="BR46" s="5">
        <f t="shared" si="30"/>
        <v>8.5643018184810335E-2</v>
      </c>
      <c r="BS46" s="5">
        <f t="shared" si="30"/>
        <v>0.18496987004950496</v>
      </c>
      <c r="BT46" s="5">
        <f t="shared" si="30"/>
        <v>0.39072872190392238</v>
      </c>
      <c r="BU46" s="5">
        <f t="shared" si="30"/>
        <v>1.0439424522083061</v>
      </c>
      <c r="BV46" s="5">
        <f t="shared" si="30"/>
        <v>0.51450947831552485</v>
      </c>
      <c r="BW46" s="5">
        <f t="shared" si="30"/>
        <v>0.15266818948770605</v>
      </c>
      <c r="BX46" s="5">
        <f t="shared" si="30"/>
        <v>0.30216710589362722</v>
      </c>
      <c r="BY46" s="5">
        <f t="shared" si="30"/>
        <v>0.87820375735500134</v>
      </c>
      <c r="BZ46" s="5">
        <f t="shared" si="30"/>
        <v>0.14920100035431674</v>
      </c>
      <c r="CB46" s="33"/>
    </row>
    <row r="47" spans="1:80" x14ac:dyDescent="0.2">
      <c r="B47" s="38" t="s">
        <v>173</v>
      </c>
      <c r="C47" s="12">
        <v>29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B47" s="33" t="s">
        <v>180</v>
      </c>
    </row>
    <row r="48" spans="1:80" x14ac:dyDescent="0.2">
      <c r="B48" s="38" t="s">
        <v>170</v>
      </c>
      <c r="C48" s="5"/>
      <c r="D48" s="5">
        <f>D46*$C47</f>
        <v>1.4961636588145897</v>
      </c>
      <c r="E48" s="5">
        <f t="shared" ref="E48:BN48" si="31">E46*$C47</f>
        <v>3.5926375962221995</v>
      </c>
      <c r="F48" s="5">
        <f t="shared" si="31"/>
        <v>19.118413546511629</v>
      </c>
      <c r="G48" s="5">
        <f t="shared" si="31"/>
        <v>24.11074079710145</v>
      </c>
      <c r="H48" s="5">
        <f t="shared" si="31"/>
        <v>7.8423145574491482</v>
      </c>
      <c r="I48" s="5">
        <f t="shared" si="31"/>
        <v>1.503316656863775</v>
      </c>
      <c r="J48" s="5">
        <f t="shared" si="31"/>
        <v>3.8757315228996911</v>
      </c>
      <c r="K48" s="5">
        <f t="shared" si="31"/>
        <v>12.034137690607734</v>
      </c>
      <c r="L48" s="5">
        <f t="shared" si="31"/>
        <v>3.639643261829653</v>
      </c>
      <c r="M48" s="5">
        <f t="shared" si="31"/>
        <v>20.050774786821709</v>
      </c>
      <c r="N48" s="5">
        <f t="shared" si="31"/>
        <v>11.028530410081164</v>
      </c>
      <c r="O48" s="5">
        <f t="shared" si="31"/>
        <v>2.8248531006322448</v>
      </c>
      <c r="P48" s="5">
        <f t="shared" si="31"/>
        <v>0.70082697328444199</v>
      </c>
      <c r="Q48" s="5">
        <f t="shared" si="31"/>
        <v>4.5470854395036193</v>
      </c>
      <c r="R48" s="5">
        <f t="shared" si="31"/>
        <v>1.8475379659058073</v>
      </c>
      <c r="S48" s="5">
        <f t="shared" si="31"/>
        <v>3.2723763413832758</v>
      </c>
      <c r="T48" s="5">
        <f t="shared" si="31"/>
        <v>1.6777861312779714</v>
      </c>
      <c r="U48" s="5">
        <f t="shared" si="31"/>
        <v>4.1050441349785949</v>
      </c>
      <c r="V48" s="5">
        <f t="shared" si="31"/>
        <v>3.7855289629629629</v>
      </c>
      <c r="W48" s="5">
        <f t="shared" si="31"/>
        <v>4.8450538255831237</v>
      </c>
      <c r="X48" s="5">
        <f t="shared" si="31"/>
        <v>1.211781216443784</v>
      </c>
      <c r="Y48" s="5">
        <f t="shared" si="31"/>
        <v>2.6423539444214024</v>
      </c>
      <c r="Z48" s="5">
        <f t="shared" si="31"/>
        <v>6.0320286419753089</v>
      </c>
      <c r="AA48" s="5">
        <f t="shared" si="31"/>
        <v>9.5002942171675251</v>
      </c>
      <c r="AB48" s="5">
        <f t="shared" si="31"/>
        <v>10.258885849056604</v>
      </c>
      <c r="AC48" s="5">
        <f t="shared" si="31"/>
        <v>11.079408534834934</v>
      </c>
      <c r="AD48" s="5">
        <f t="shared" si="31"/>
        <v>11.061367605230894</v>
      </c>
      <c r="AE48" s="5">
        <f t="shared" si="31"/>
        <v>20.343660491139239</v>
      </c>
      <c r="AF48" s="5">
        <f t="shared" si="31"/>
        <v>17.882872641196013</v>
      </c>
      <c r="AG48" s="5">
        <f t="shared" si="31"/>
        <v>21.895172725891129</v>
      </c>
      <c r="AH48" s="5">
        <f t="shared" si="31"/>
        <v>3.4815017311455669</v>
      </c>
      <c r="AI48" s="5">
        <f t="shared" si="31"/>
        <v>16.880556508637234</v>
      </c>
      <c r="AJ48" s="5">
        <f t="shared" si="31"/>
        <v>22.858167632622237</v>
      </c>
      <c r="AK48" s="5">
        <f t="shared" si="31"/>
        <v>4.4095892689588689</v>
      </c>
      <c r="AL48" s="5">
        <f t="shared" si="31"/>
        <v>19.151912888574891</v>
      </c>
      <c r="AM48" s="5">
        <f t="shared" si="31"/>
        <v>11.264487298868156</v>
      </c>
      <c r="AN48" s="5">
        <f t="shared" si="31"/>
        <v>241.28113821243525</v>
      </c>
      <c r="AO48" s="5">
        <f t="shared" si="31"/>
        <v>44.867783532421306</v>
      </c>
      <c r="AP48" s="5">
        <f t="shared" si="31"/>
        <v>42.954076143082382</v>
      </c>
      <c r="AQ48" s="5">
        <f t="shared" si="31"/>
        <v>24.416329987933114</v>
      </c>
      <c r="AR48" s="5">
        <f t="shared" si="31"/>
        <v>70.770037576666667</v>
      </c>
      <c r="AS48" s="5">
        <f t="shared" si="31"/>
        <v>74.044425554959787</v>
      </c>
      <c r="AT48" s="5">
        <f t="shared" si="31"/>
        <v>9.2517135738068816</v>
      </c>
      <c r="AU48" s="5">
        <f t="shared" si="31"/>
        <v>29.289407889141991</v>
      </c>
      <c r="AV48" s="5">
        <f t="shared" si="31"/>
        <v>15.813862879338842</v>
      </c>
      <c r="AW48" s="5">
        <f t="shared" si="31"/>
        <v>10.749646130443427</v>
      </c>
      <c r="AX48" s="5">
        <f t="shared" si="31"/>
        <v>17.894393470512583</v>
      </c>
      <c r="AY48" s="5">
        <f t="shared" si="31"/>
        <v>3.3291634186471661</v>
      </c>
      <c r="AZ48" s="5">
        <f t="shared" si="31"/>
        <v>4.2869305589908482</v>
      </c>
      <c r="BA48" s="5">
        <f t="shared" si="31"/>
        <v>3.2689690800632452</v>
      </c>
      <c r="BB48" s="5">
        <f t="shared" si="31"/>
        <v>16.184003730174865</v>
      </c>
      <c r="BC48" s="5">
        <f t="shared" si="31"/>
        <v>97.36569258918297</v>
      </c>
      <c r="BD48" s="5">
        <f t="shared" si="31"/>
        <v>73.532491537199135</v>
      </c>
      <c r="BE48" s="5">
        <f t="shared" si="31"/>
        <v>25.001597929122948</v>
      </c>
      <c r="BF48" s="5">
        <f t="shared" si="31"/>
        <v>16.718356127069953</v>
      </c>
      <c r="BG48" s="5">
        <f t="shared" si="31"/>
        <v>4.1725692704081627</v>
      </c>
      <c r="BH48" s="5">
        <f t="shared" ref="BH48" si="32">BH46*$C47</f>
        <v>37.93142806456769</v>
      </c>
      <c r="BI48" s="5">
        <f t="shared" si="31"/>
        <v>12.464204624015748</v>
      </c>
      <c r="BJ48" s="5">
        <f t="shared" si="31"/>
        <v>25.34316454432734</v>
      </c>
      <c r="BK48" s="5">
        <f t="shared" si="31"/>
        <v>50.58064130179558</v>
      </c>
      <c r="BL48" s="5">
        <f t="shared" si="31"/>
        <v>13.104441970469514</v>
      </c>
      <c r="BM48" s="5">
        <f t="shared" si="31"/>
        <v>8.1340456913265307</v>
      </c>
      <c r="BN48" s="5">
        <f t="shared" si="31"/>
        <v>6.2093786279282028</v>
      </c>
      <c r="BO48" s="5">
        <f t="shared" ref="BO48:BZ48" si="33">BO46*$C47</f>
        <v>3.1153621285110797</v>
      </c>
      <c r="BP48" s="5">
        <f t="shared" si="33"/>
        <v>3.1846157851397932</v>
      </c>
      <c r="BQ48" s="5">
        <f t="shared" si="33"/>
        <v>10.207768451252129</v>
      </c>
      <c r="BR48" s="5">
        <f t="shared" si="33"/>
        <v>2.4836475273594996</v>
      </c>
      <c r="BS48" s="5">
        <f t="shared" si="33"/>
        <v>5.3641262314356437</v>
      </c>
      <c r="BT48" s="5">
        <f t="shared" si="33"/>
        <v>11.331132935213748</v>
      </c>
      <c r="BU48" s="5">
        <f t="shared" si="33"/>
        <v>30.274331114040876</v>
      </c>
      <c r="BV48" s="5">
        <f t="shared" si="33"/>
        <v>14.92077487115022</v>
      </c>
      <c r="BW48" s="5">
        <f t="shared" si="33"/>
        <v>4.4273774951434754</v>
      </c>
      <c r="BX48" s="5">
        <f t="shared" si="33"/>
        <v>8.7628460709151899</v>
      </c>
      <c r="BY48" s="5">
        <f t="shared" si="33"/>
        <v>25.467908963295038</v>
      </c>
      <c r="BZ48" s="5">
        <f t="shared" si="33"/>
        <v>4.3268290102751852</v>
      </c>
      <c r="CB48" s="33"/>
    </row>
    <row r="49" spans="1:80" x14ac:dyDescent="0.2">
      <c r="B49" s="3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B49" s="33"/>
    </row>
    <row r="50" spans="1:80" s="32" customFormat="1" x14ac:dyDescent="0.2">
      <c r="A50" s="21"/>
      <c r="B50" s="32" t="s">
        <v>171</v>
      </c>
      <c r="C50" s="15"/>
      <c r="D50" s="15">
        <f t="shared" ref="D50:AI50" si="34">D48*D12</f>
        <v>114199.17975</v>
      </c>
      <c r="E50" s="15">
        <f t="shared" si="34"/>
        <v>35376.702409999998</v>
      </c>
      <c r="F50" s="15">
        <f t="shared" si="34"/>
        <v>26306.937040000001</v>
      </c>
      <c r="G50" s="15">
        <f t="shared" si="34"/>
        <v>29945.540069999999</v>
      </c>
      <c r="H50" s="15">
        <f t="shared" si="34"/>
        <v>28530.340360000002</v>
      </c>
      <c r="I50" s="15">
        <f t="shared" si="34"/>
        <v>14313.077890000002</v>
      </c>
      <c r="J50" s="15">
        <f t="shared" si="34"/>
        <v>13793.728490000001</v>
      </c>
      <c r="K50" s="15">
        <f t="shared" si="34"/>
        <v>10890.894609999999</v>
      </c>
      <c r="L50" s="15">
        <f t="shared" si="34"/>
        <v>5768.83457</v>
      </c>
      <c r="M50" s="15">
        <f t="shared" si="34"/>
        <v>20692.399580000005</v>
      </c>
      <c r="N50" s="15">
        <f t="shared" si="34"/>
        <v>25817.789690000005</v>
      </c>
      <c r="O50" s="15">
        <f t="shared" si="34"/>
        <v>21446.284740000003</v>
      </c>
      <c r="P50" s="15">
        <f t="shared" si="34"/>
        <v>6689.3934599999984</v>
      </c>
      <c r="Q50" s="15">
        <f t="shared" si="34"/>
        <v>30779.22134</v>
      </c>
      <c r="R50" s="15">
        <f t="shared" si="34"/>
        <v>6394.3288999999995</v>
      </c>
      <c r="S50" s="15">
        <f t="shared" si="34"/>
        <v>19918.95479</v>
      </c>
      <c r="T50" s="15">
        <f t="shared" si="34"/>
        <v>13496.111640000001</v>
      </c>
      <c r="U50" s="15">
        <f t="shared" si="34"/>
        <v>16301.13026</v>
      </c>
      <c r="V50" s="15">
        <f t="shared" si="34"/>
        <v>18908.71717</v>
      </c>
      <c r="W50" s="15">
        <f t="shared" si="34"/>
        <v>32612.057300000004</v>
      </c>
      <c r="X50" s="15">
        <f t="shared" si="34"/>
        <v>12232.93138</v>
      </c>
      <c r="Y50" s="15">
        <f t="shared" si="34"/>
        <v>12741.430720000002</v>
      </c>
      <c r="Z50" s="15">
        <f t="shared" si="34"/>
        <v>12703.45232</v>
      </c>
      <c r="AA50" s="15">
        <f t="shared" si="34"/>
        <v>114440.54414000001</v>
      </c>
      <c r="AB50" s="15">
        <f t="shared" si="34"/>
        <v>15767.90755</v>
      </c>
      <c r="AC50" s="15">
        <f t="shared" si="34"/>
        <v>100346.2031</v>
      </c>
      <c r="AD50" s="15">
        <f t="shared" si="34"/>
        <v>27067.166529999995</v>
      </c>
      <c r="AE50" s="15">
        <f t="shared" si="34"/>
        <v>120536.18840999999</v>
      </c>
      <c r="AF50" s="15">
        <f t="shared" si="34"/>
        <v>64592.935979999995</v>
      </c>
      <c r="AG50" s="15">
        <f t="shared" si="34"/>
        <v>158477.26019</v>
      </c>
      <c r="AH50" s="15">
        <f t="shared" si="34"/>
        <v>46255.232000000004</v>
      </c>
      <c r="AI50" s="15">
        <f t="shared" si="34"/>
        <v>87947.699409999987</v>
      </c>
      <c r="AJ50" s="15">
        <f t="shared" ref="AJ50:BM50" si="35">AJ48*AJ12</f>
        <v>121079.71394999999</v>
      </c>
      <c r="AK50" s="15">
        <f t="shared" si="35"/>
        <v>27445.283609999999</v>
      </c>
      <c r="AL50" s="15">
        <f t="shared" si="35"/>
        <v>94878.576450000008</v>
      </c>
      <c r="AM50" s="15">
        <f t="shared" si="35"/>
        <v>73647.217960000009</v>
      </c>
      <c r="AN50" s="15">
        <f t="shared" si="35"/>
        <v>372538.07740000001</v>
      </c>
      <c r="AO50" s="15">
        <f t="shared" si="35"/>
        <v>403406.24173999997</v>
      </c>
      <c r="AP50" s="15">
        <f t="shared" si="35"/>
        <v>217948.98235000001</v>
      </c>
      <c r="AQ50" s="15">
        <f t="shared" si="35"/>
        <v>141639.13026000001</v>
      </c>
      <c r="AR50" s="15">
        <f t="shared" si="35"/>
        <v>212310.11272999999</v>
      </c>
      <c r="AS50" s="15">
        <f t="shared" si="35"/>
        <v>138092.85365999999</v>
      </c>
      <c r="AT50" s="15">
        <f t="shared" si="35"/>
        <v>16671.58786</v>
      </c>
      <c r="AU50" s="15">
        <f t="shared" si="35"/>
        <v>115722.45057</v>
      </c>
      <c r="AV50" s="15">
        <f t="shared" si="35"/>
        <v>47836.935209999996</v>
      </c>
      <c r="AW50" s="15">
        <f t="shared" si="35"/>
        <v>54059.970389999995</v>
      </c>
      <c r="AX50" s="15">
        <f t="shared" si="35"/>
        <v>97399.183659999981</v>
      </c>
      <c r="AY50" s="15">
        <f t="shared" si="35"/>
        <v>21852.628679999998</v>
      </c>
      <c r="AZ50" s="15">
        <f t="shared" si="35"/>
        <v>17332.060249999999</v>
      </c>
      <c r="BA50" s="15">
        <f t="shared" si="35"/>
        <v>90968.871559999985</v>
      </c>
      <c r="BB50" s="15">
        <f t="shared" si="35"/>
        <v>159185.86068999997</v>
      </c>
      <c r="BC50" s="15">
        <f t="shared" si="35"/>
        <v>253832.36058000001</v>
      </c>
      <c r="BD50" s="15">
        <f t="shared" si="35"/>
        <v>268834.78906000004</v>
      </c>
      <c r="BE50" s="15">
        <f t="shared" si="35"/>
        <v>126283.07114000001</v>
      </c>
      <c r="BF50" s="15">
        <f t="shared" si="35"/>
        <v>148408.84733999998</v>
      </c>
      <c r="BG50" s="15">
        <f t="shared" si="35"/>
        <v>8178.2357699999993</v>
      </c>
      <c r="BH50" s="15">
        <f t="shared" ref="BH50" si="36">BH48*BH12</f>
        <v>237336.94540000003</v>
      </c>
      <c r="BI50" s="15">
        <f t="shared" si="35"/>
        <v>63318.159489999998</v>
      </c>
      <c r="BJ50" s="15">
        <f t="shared" si="35"/>
        <v>40878.524409999998</v>
      </c>
      <c r="BK50" s="15">
        <f t="shared" si="35"/>
        <v>146481.53721000001</v>
      </c>
      <c r="BL50" s="15">
        <f t="shared" si="35"/>
        <v>123365.21671000001</v>
      </c>
      <c r="BM50" s="15">
        <f t="shared" si="35"/>
        <v>31885.45911</v>
      </c>
      <c r="BN50" s="15">
        <f t="shared" ref="BN50:BZ50" si="37">BN48*BN12</f>
        <v>40820.455100000006</v>
      </c>
      <c r="BO50" s="15">
        <f t="shared" si="37"/>
        <v>42035.581200000001</v>
      </c>
      <c r="BP50" s="15">
        <f t="shared" si="37"/>
        <v>33260.127260000001</v>
      </c>
      <c r="BQ50" s="15">
        <f t="shared" si="37"/>
        <v>41984.551640000005</v>
      </c>
      <c r="BR50" s="15">
        <f t="shared" si="37"/>
        <v>60367.536799999994</v>
      </c>
      <c r="BS50" s="15">
        <f t="shared" si="37"/>
        <v>26005.28397</v>
      </c>
      <c r="BT50" s="15">
        <f t="shared" si="37"/>
        <v>51420.68125999999</v>
      </c>
      <c r="BU50" s="15">
        <f t="shared" si="37"/>
        <v>45926.16030000001</v>
      </c>
      <c r="BV50" s="15">
        <f t="shared" si="37"/>
        <v>47477.905639999997</v>
      </c>
      <c r="BW50" s="15">
        <f t="shared" si="37"/>
        <v>79768.060329999993</v>
      </c>
      <c r="BX50" s="15">
        <f t="shared" si="37"/>
        <v>18288.05975</v>
      </c>
      <c r="BY50" s="15">
        <f t="shared" si="37"/>
        <v>90894.967089999991</v>
      </c>
      <c r="BZ50" s="15">
        <f t="shared" si="37"/>
        <v>36635.261229999996</v>
      </c>
      <c r="CA50" s="21"/>
      <c r="CB50" s="33"/>
    </row>
    <row r="51" spans="1:80" x14ac:dyDescent="0.2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B51" s="33"/>
    </row>
    <row r="52" spans="1:80" s="32" customFormat="1" x14ac:dyDescent="0.2">
      <c r="A52" s="63" t="s">
        <v>154</v>
      </c>
      <c r="B52" s="61" t="s">
        <v>175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1"/>
      <c r="CB52" s="63"/>
    </row>
    <row r="53" spans="1:80" x14ac:dyDescent="0.2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B53" s="33"/>
    </row>
    <row r="54" spans="1:80" x14ac:dyDescent="0.2">
      <c r="B54" s="3" t="s">
        <v>176</v>
      </c>
      <c r="C54" s="12">
        <v>320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B54" s="33" t="s">
        <v>180</v>
      </c>
    </row>
    <row r="55" spans="1:80" x14ac:dyDescent="0.2">
      <c r="A55" s="38"/>
      <c r="B55" s="3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38"/>
      <c r="CB55" s="30"/>
    </row>
    <row r="56" spans="1:80" s="32" customFormat="1" x14ac:dyDescent="0.2">
      <c r="A56" s="21"/>
      <c r="B56" s="21" t="s">
        <v>177</v>
      </c>
      <c r="C56" s="15"/>
      <c r="D56" s="15">
        <f t="shared" ref="D56:AI56" si="38">D12*$C54*-1</f>
        <v>-24424960</v>
      </c>
      <c r="E56" s="15">
        <f t="shared" si="38"/>
        <v>-3151040</v>
      </c>
      <c r="F56" s="15">
        <f t="shared" si="38"/>
        <v>-440320</v>
      </c>
      <c r="G56" s="15">
        <f t="shared" si="38"/>
        <v>-397440</v>
      </c>
      <c r="H56" s="15">
        <f t="shared" si="38"/>
        <v>-1164160</v>
      </c>
      <c r="I56" s="15">
        <f t="shared" si="38"/>
        <v>-3046720</v>
      </c>
      <c r="J56" s="15">
        <f t="shared" si="38"/>
        <v>-1138880</v>
      </c>
      <c r="K56" s="15">
        <f t="shared" si="38"/>
        <v>-289600</v>
      </c>
      <c r="L56" s="15">
        <f t="shared" si="38"/>
        <v>-507200</v>
      </c>
      <c r="M56" s="15">
        <f t="shared" si="38"/>
        <v>-330240</v>
      </c>
      <c r="N56" s="15">
        <f t="shared" si="38"/>
        <v>-749120</v>
      </c>
      <c r="O56" s="15">
        <f t="shared" si="38"/>
        <v>-2429440</v>
      </c>
      <c r="P56" s="15">
        <f t="shared" si="38"/>
        <v>-3054400</v>
      </c>
      <c r="Q56" s="15">
        <f t="shared" si="38"/>
        <v>-2166080</v>
      </c>
      <c r="R56" s="15">
        <f t="shared" si="38"/>
        <v>-1107520</v>
      </c>
      <c r="S56" s="15">
        <f t="shared" si="38"/>
        <v>-1947840</v>
      </c>
      <c r="T56" s="15">
        <f t="shared" si="38"/>
        <v>-2574080</v>
      </c>
      <c r="U56" s="15">
        <f t="shared" si="38"/>
        <v>-1270720</v>
      </c>
      <c r="V56" s="15">
        <f t="shared" si="38"/>
        <v>-1598400</v>
      </c>
      <c r="W56" s="15">
        <f t="shared" si="38"/>
        <v>-2153920</v>
      </c>
      <c r="X56" s="15">
        <f t="shared" si="38"/>
        <v>-3230400</v>
      </c>
      <c r="Y56" s="15">
        <f t="shared" si="38"/>
        <v>-1543040</v>
      </c>
      <c r="Z56" s="15">
        <f t="shared" si="38"/>
        <v>-673920</v>
      </c>
      <c r="AA56" s="15">
        <f t="shared" si="38"/>
        <v>-3854720</v>
      </c>
      <c r="AB56" s="15">
        <f t="shared" si="38"/>
        <v>-491840</v>
      </c>
      <c r="AC56" s="15">
        <f t="shared" si="38"/>
        <v>-2898240</v>
      </c>
      <c r="AD56" s="15">
        <f t="shared" si="38"/>
        <v>-783040</v>
      </c>
      <c r="AE56" s="15">
        <f t="shared" si="38"/>
        <v>-1896000</v>
      </c>
      <c r="AF56" s="15">
        <f t="shared" si="38"/>
        <v>-1155840</v>
      </c>
      <c r="AG56" s="15">
        <f t="shared" si="38"/>
        <v>-2316160</v>
      </c>
      <c r="AH56" s="15">
        <f t="shared" si="38"/>
        <v>-4251520</v>
      </c>
      <c r="AI56" s="15">
        <f t="shared" si="38"/>
        <v>-1667200</v>
      </c>
      <c r="AJ56" s="15">
        <f t="shared" ref="AJ56:BM56" si="39">AJ12*$C54*-1</f>
        <v>-1695040</v>
      </c>
      <c r="AK56" s="15">
        <f t="shared" si="39"/>
        <v>-1991680</v>
      </c>
      <c r="AL56" s="15">
        <f t="shared" si="39"/>
        <v>-1585280</v>
      </c>
      <c r="AM56" s="15">
        <f t="shared" si="39"/>
        <v>-2092160</v>
      </c>
      <c r="AN56" s="15">
        <f t="shared" si="39"/>
        <v>-494080</v>
      </c>
      <c r="AO56" s="15">
        <f t="shared" si="39"/>
        <v>-2877120</v>
      </c>
      <c r="AP56" s="15">
        <f t="shared" si="39"/>
        <v>-1623680</v>
      </c>
      <c r="AQ56" s="15">
        <f t="shared" si="39"/>
        <v>-1856320</v>
      </c>
      <c r="AR56" s="15">
        <f t="shared" si="39"/>
        <v>-960000</v>
      </c>
      <c r="AS56" s="15">
        <f t="shared" si="39"/>
        <v>-596800</v>
      </c>
      <c r="AT56" s="15">
        <f t="shared" si="39"/>
        <v>-576640</v>
      </c>
      <c r="AU56" s="15">
        <f t="shared" si="39"/>
        <v>-1264320</v>
      </c>
      <c r="AV56" s="15">
        <f t="shared" si="39"/>
        <v>-968000</v>
      </c>
      <c r="AW56" s="15">
        <f t="shared" si="39"/>
        <v>-1609280</v>
      </c>
      <c r="AX56" s="15">
        <f t="shared" si="39"/>
        <v>-1741760</v>
      </c>
      <c r="AY56" s="15">
        <f t="shared" si="39"/>
        <v>-2100480</v>
      </c>
      <c r="AZ56" s="15">
        <f t="shared" si="39"/>
        <v>-1293760</v>
      </c>
      <c r="BA56" s="15">
        <f t="shared" si="39"/>
        <v>-8904960</v>
      </c>
      <c r="BB56" s="15">
        <f t="shared" si="39"/>
        <v>-3147520</v>
      </c>
      <c r="BC56" s="15">
        <f t="shared" si="39"/>
        <v>-834240</v>
      </c>
      <c r="BD56" s="15">
        <f t="shared" si="39"/>
        <v>-1169920</v>
      </c>
      <c r="BE56" s="15">
        <f t="shared" si="39"/>
        <v>-1616320</v>
      </c>
      <c r="BF56" s="15">
        <f t="shared" si="39"/>
        <v>-2840640</v>
      </c>
      <c r="BG56" s="15">
        <f t="shared" si="39"/>
        <v>-627200</v>
      </c>
      <c r="BH56" s="15">
        <f t="shared" si="39"/>
        <v>-2002240</v>
      </c>
      <c r="BI56" s="15">
        <f t="shared" si="39"/>
        <v>-1625600</v>
      </c>
      <c r="BJ56" s="15">
        <f t="shared" si="39"/>
        <v>-516160</v>
      </c>
      <c r="BK56" s="15">
        <f t="shared" si="39"/>
        <v>-926720</v>
      </c>
      <c r="BL56" s="15">
        <f t="shared" si="39"/>
        <v>-3012480</v>
      </c>
      <c r="BM56" s="15">
        <f t="shared" si="39"/>
        <v>-1254400</v>
      </c>
      <c r="BN56" s="15">
        <f t="shared" ref="BN56:BZ56" si="40">BN12*$C54*-1</f>
        <v>-2103680</v>
      </c>
      <c r="BO56" s="15">
        <f t="shared" si="40"/>
        <v>-4317760</v>
      </c>
      <c r="BP56" s="15">
        <f t="shared" si="40"/>
        <v>-3342080</v>
      </c>
      <c r="BQ56" s="15">
        <f t="shared" si="40"/>
        <v>-1316160</v>
      </c>
      <c r="BR56" s="15">
        <f t="shared" si="40"/>
        <v>-7777920</v>
      </c>
      <c r="BS56" s="15">
        <f t="shared" si="40"/>
        <v>-1551360</v>
      </c>
      <c r="BT56" s="15">
        <f t="shared" si="40"/>
        <v>-1452160</v>
      </c>
      <c r="BU56" s="15">
        <f t="shared" si="40"/>
        <v>-485440</v>
      </c>
      <c r="BV56" s="15">
        <f t="shared" si="40"/>
        <v>-1018240</v>
      </c>
      <c r="BW56" s="15">
        <f t="shared" si="40"/>
        <v>-5765440</v>
      </c>
      <c r="BX56" s="15">
        <f t="shared" si="40"/>
        <v>-667840</v>
      </c>
      <c r="BY56" s="15">
        <f t="shared" si="40"/>
        <v>-1142080</v>
      </c>
      <c r="BZ56" s="15">
        <f t="shared" si="40"/>
        <v>-2709440</v>
      </c>
      <c r="CA56" s="21"/>
      <c r="CB56" s="33"/>
    </row>
    <row r="57" spans="1:80" x14ac:dyDescent="0.2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B57" s="33"/>
    </row>
    <row r="58" spans="1:80" s="32" customFormat="1" x14ac:dyDescent="0.2">
      <c r="A58" s="63" t="s">
        <v>155</v>
      </c>
      <c r="B58" s="61" t="s">
        <v>174</v>
      </c>
      <c r="C58" s="62"/>
      <c r="D58" s="62">
        <f>IF((D24+D33+D41+D50+D56)&lt;0,0,D24+D33+D41+D50+D56)</f>
        <v>0</v>
      </c>
      <c r="E58" s="62">
        <f>IF((E24+E33+E41+E50+E56)&lt;0,0,E24+E33+E41+E50+E56)</f>
        <v>0</v>
      </c>
      <c r="F58" s="62">
        <f>IF((F24+F33+F41+F50+F56)&lt;0,0,F24+F33+F41+F50+F56)</f>
        <v>407359.1330400001</v>
      </c>
      <c r="G58" s="62">
        <f>IF((G24+G33+G41+G50+G56)&lt;0,0,G24+G33+G41+G50+G56)</f>
        <v>629865.79406999995</v>
      </c>
      <c r="H58" s="62">
        <f t="shared" ref="H58:BQ58" si="41">IF((H24+H33+H41+H50+H56)&lt;0,0,H24+H33+H41+H50+H56)</f>
        <v>78181.1975494402</v>
      </c>
      <c r="I58" s="62">
        <f t="shared" si="41"/>
        <v>0</v>
      </c>
      <c r="J58" s="62">
        <f t="shared" si="41"/>
        <v>0</v>
      </c>
      <c r="K58" s="62">
        <f t="shared" si="41"/>
        <v>53065.70061</v>
      </c>
      <c r="L58" s="62">
        <f t="shared" si="41"/>
        <v>0</v>
      </c>
      <c r="M58" s="62">
        <f t="shared" si="41"/>
        <v>296753.27718000009</v>
      </c>
      <c r="N58" s="62">
        <f t="shared" si="41"/>
        <v>640383.31349607161</v>
      </c>
      <c r="O58" s="62">
        <f t="shared" si="41"/>
        <v>0</v>
      </c>
      <c r="P58" s="62">
        <f t="shared" si="41"/>
        <v>0</v>
      </c>
      <c r="Q58" s="62">
        <f t="shared" si="41"/>
        <v>0</v>
      </c>
      <c r="R58" s="62">
        <f t="shared" si="41"/>
        <v>0</v>
      </c>
      <c r="S58" s="62">
        <f t="shared" si="41"/>
        <v>0</v>
      </c>
      <c r="T58" s="62">
        <f t="shared" si="41"/>
        <v>0</v>
      </c>
      <c r="U58" s="62">
        <f t="shared" si="41"/>
        <v>0</v>
      </c>
      <c r="V58" s="62">
        <f t="shared" si="41"/>
        <v>0</v>
      </c>
      <c r="W58" s="62">
        <f t="shared" si="41"/>
        <v>0</v>
      </c>
      <c r="X58" s="62">
        <f t="shared" si="41"/>
        <v>0</v>
      </c>
      <c r="Y58" s="62">
        <f t="shared" si="41"/>
        <v>0</v>
      </c>
      <c r="Z58" s="62">
        <f t="shared" si="41"/>
        <v>140188.07832000009</v>
      </c>
      <c r="AA58" s="62">
        <f t="shared" si="41"/>
        <v>1069875.1961400006</v>
      </c>
      <c r="AB58" s="62">
        <f t="shared" si="41"/>
        <v>240700.18180028675</v>
      </c>
      <c r="AC58" s="62">
        <f t="shared" si="41"/>
        <v>1487008.5630673375</v>
      </c>
      <c r="AD58" s="62">
        <f t="shared" si="41"/>
        <v>267285.44652999984</v>
      </c>
      <c r="AE58" s="62">
        <f t="shared" si="41"/>
        <v>804561.49548152694</v>
      </c>
      <c r="AF58" s="62">
        <f t="shared" si="41"/>
        <v>447182.19797999994</v>
      </c>
      <c r="AG58" s="62">
        <f t="shared" si="41"/>
        <v>1049367.1633899999</v>
      </c>
      <c r="AH58" s="62">
        <f t="shared" si="41"/>
        <v>0</v>
      </c>
      <c r="AI58" s="62">
        <f t="shared" si="41"/>
        <v>147874.50540999998</v>
      </c>
      <c r="AJ58" s="62">
        <f t="shared" si="41"/>
        <v>383717.97458767961</v>
      </c>
      <c r="AK58" s="62">
        <f t="shared" si="41"/>
        <v>0</v>
      </c>
      <c r="AL58" s="62">
        <f t="shared" si="41"/>
        <v>178679.76645000023</v>
      </c>
      <c r="AM58" s="62">
        <f t="shared" si="41"/>
        <v>0</v>
      </c>
      <c r="AN58" s="62">
        <f t="shared" si="41"/>
        <v>2370867.4746194715</v>
      </c>
      <c r="AO58" s="62">
        <f t="shared" si="41"/>
        <v>1186759.6089400002</v>
      </c>
      <c r="AP58" s="62">
        <f t="shared" si="41"/>
        <v>1073192.1711500003</v>
      </c>
      <c r="AQ58" s="62">
        <f t="shared" si="41"/>
        <v>0</v>
      </c>
      <c r="AR58" s="62">
        <f t="shared" si="41"/>
        <v>481074.28672895138</v>
      </c>
      <c r="AS58" s="62">
        <f t="shared" si="41"/>
        <v>1524504.33806</v>
      </c>
      <c r="AT58" s="62">
        <f t="shared" si="41"/>
        <v>0</v>
      </c>
      <c r="AU58" s="62">
        <f t="shared" si="41"/>
        <v>333444.95456999983</v>
      </c>
      <c r="AV58" s="62">
        <f t="shared" si="41"/>
        <v>193179.20921</v>
      </c>
      <c r="AW58" s="62">
        <f t="shared" si="41"/>
        <v>0</v>
      </c>
      <c r="AX58" s="62">
        <f t="shared" si="41"/>
        <v>199160.23564349674</v>
      </c>
      <c r="AY58" s="62">
        <f t="shared" si="41"/>
        <v>0</v>
      </c>
      <c r="AZ58" s="62">
        <f t="shared" si="41"/>
        <v>0</v>
      </c>
      <c r="BA58" s="62">
        <f t="shared" si="41"/>
        <v>0</v>
      </c>
      <c r="BB58" s="62">
        <f t="shared" si="41"/>
        <v>1431111.1389285829</v>
      </c>
      <c r="BC58" s="62">
        <f t="shared" si="41"/>
        <v>2262008.7666104562</v>
      </c>
      <c r="BD58" s="62">
        <f t="shared" si="41"/>
        <v>2389897.5386599991</v>
      </c>
      <c r="BE58" s="62">
        <f t="shared" si="41"/>
        <v>1419060.8355400008</v>
      </c>
      <c r="BF58" s="62">
        <f t="shared" si="41"/>
        <v>1089502.7153399996</v>
      </c>
      <c r="BG58" s="62">
        <f t="shared" si="41"/>
        <v>0</v>
      </c>
      <c r="BH58" s="62">
        <f t="shared" si="41"/>
        <v>5069359.6296224389</v>
      </c>
      <c r="BI58" s="62">
        <f t="shared" si="41"/>
        <v>700799.72909000004</v>
      </c>
      <c r="BJ58" s="62">
        <f t="shared" si="41"/>
        <v>633033.55439552781</v>
      </c>
      <c r="BK58" s="62">
        <f t="shared" si="41"/>
        <v>1942573.6992099993</v>
      </c>
      <c r="BL58" s="62">
        <f t="shared" si="41"/>
        <v>2197904.3034537332</v>
      </c>
      <c r="BM58" s="62">
        <f t="shared" si="41"/>
        <v>0</v>
      </c>
      <c r="BN58" s="62">
        <f t="shared" si="41"/>
        <v>0</v>
      </c>
      <c r="BO58" s="62">
        <f t="shared" si="41"/>
        <v>0</v>
      </c>
      <c r="BP58" s="62">
        <f t="shared" si="41"/>
        <v>0</v>
      </c>
      <c r="BQ58" s="62">
        <f t="shared" si="41"/>
        <v>898619.47964000003</v>
      </c>
      <c r="BR58" s="62">
        <f t="shared" ref="BR58:BZ58" si="42">IF((BR24+BR33+BR41+BR50+BR56)&lt;0,0,BR24+BR33+BR41+BR50+BR56)</f>
        <v>0</v>
      </c>
      <c r="BS58" s="62">
        <f t="shared" si="42"/>
        <v>0</v>
      </c>
      <c r="BT58" s="62">
        <f t="shared" si="42"/>
        <v>739094.46235812688</v>
      </c>
      <c r="BU58" s="62">
        <f t="shared" si="42"/>
        <v>548218.75229999982</v>
      </c>
      <c r="BV58" s="62">
        <f t="shared" si="42"/>
        <v>583892.71401246521</v>
      </c>
      <c r="BW58" s="62">
        <f t="shared" si="42"/>
        <v>0</v>
      </c>
      <c r="BX58" s="62">
        <f t="shared" si="42"/>
        <v>114431.97775000008</v>
      </c>
      <c r="BY58" s="62">
        <f t="shared" si="42"/>
        <v>1834581.9198620506</v>
      </c>
      <c r="BZ58" s="62">
        <f t="shared" si="42"/>
        <v>0</v>
      </c>
      <c r="CA58" s="61"/>
      <c r="CB58" s="63"/>
    </row>
    <row r="59" spans="1:80" x14ac:dyDescent="0.2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B59" s="33"/>
    </row>
    <row r="60" spans="1:80" x14ac:dyDescent="0.2">
      <c r="A60" s="63" t="s">
        <v>156</v>
      </c>
      <c r="B60" s="61" t="s">
        <v>139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7"/>
      <c r="CB60" s="63"/>
    </row>
    <row r="61" spans="1:80" x14ac:dyDescent="0.2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B61" s="33"/>
    </row>
    <row r="62" spans="1:80" x14ac:dyDescent="0.2">
      <c r="B62" s="3" t="s">
        <v>141</v>
      </c>
      <c r="C62" s="5"/>
      <c r="D62" s="66">
        <f>'Ressourcenausgleich Basis'!D144</f>
        <v>1.0921273473498485</v>
      </c>
      <c r="E62" s="66">
        <f>'Ressourcenausgleich Basis'!E144</f>
        <v>0.80449677016816945</v>
      </c>
      <c r="F62" s="66">
        <f>'Ressourcenausgleich Basis'!F144</f>
        <v>0.82543179655721344</v>
      </c>
      <c r="G62" s="66">
        <f>'Ressourcenausgleich Basis'!G144</f>
        <v>0.74084869797126118</v>
      </c>
      <c r="H62" s="66">
        <f>'Ressourcenausgleich Basis'!H144</f>
        <v>1.7406423057632983</v>
      </c>
      <c r="I62" s="66">
        <f>'Ressourcenausgleich Basis'!I144</f>
        <v>1.1241449286963583</v>
      </c>
      <c r="J62" s="66">
        <f>'Ressourcenausgleich Basis'!J144</f>
        <v>1.028587835716062</v>
      </c>
      <c r="K62" s="66">
        <f>'Ressourcenausgleich Basis'!K144</f>
        <v>1.1057621160748954</v>
      </c>
      <c r="L62" s="66">
        <f>'Ressourcenausgleich Basis'!L144</f>
        <v>1.2543748096011462</v>
      </c>
      <c r="M62" s="66">
        <f>'Ressourcenausgleich Basis'!M144</f>
        <v>0.91663536573141036</v>
      </c>
      <c r="N62" s="66">
        <f>'Ressourcenausgleich Basis'!N144</f>
        <v>0.84926245135887035</v>
      </c>
      <c r="O62" s="66">
        <f>'Ressourcenausgleich Basis'!O144</f>
        <v>1.0233261368584079</v>
      </c>
      <c r="P62" s="66">
        <f>'Ressourcenausgleich Basis'!P144</f>
        <v>0.82603532935797619</v>
      </c>
      <c r="Q62" s="66">
        <f>'Ressourcenausgleich Basis'!Q144</f>
        <v>1.2029409745608877</v>
      </c>
      <c r="R62" s="66">
        <f>'Ressourcenausgleich Basis'!R144</f>
        <v>0.89079110398071182</v>
      </c>
      <c r="S62" s="66">
        <f>'Ressourcenausgleich Basis'!S144</f>
        <v>0.87283682211345914</v>
      </c>
      <c r="T62" s="66">
        <f>'Ressourcenausgleich Basis'!T144</f>
        <v>1.1272083368223718</v>
      </c>
      <c r="U62" s="66">
        <f>'Ressourcenausgleich Basis'!U144</f>
        <v>1.1987240686627589</v>
      </c>
      <c r="V62" s="66">
        <f>'Ressourcenausgleich Basis'!V144</f>
        <v>1.7358681939194802</v>
      </c>
      <c r="W62" s="66">
        <f>'Ressourcenausgleich Basis'!W144</f>
        <v>1.061018884570297</v>
      </c>
      <c r="X62" s="66">
        <f>'Ressourcenausgleich Basis'!X144</f>
        <v>1.104383022353717</v>
      </c>
      <c r="Y62" s="66">
        <f>'Ressourcenausgleich Basis'!Y144</f>
        <v>0.98969442071510849</v>
      </c>
      <c r="Z62" s="66">
        <f>'Ressourcenausgleich Basis'!Z144</f>
        <v>0.8636045518565979</v>
      </c>
      <c r="AA62" s="66">
        <f>'Ressourcenausgleich Basis'!AA144</f>
        <v>0.9759699500673934</v>
      </c>
      <c r="AB62" s="66">
        <f>'Ressourcenausgleich Basis'!AB144</f>
        <v>0.8094355853020706</v>
      </c>
      <c r="AC62" s="66">
        <f>'Ressourcenausgleich Basis'!AC144</f>
        <v>0.89369001477633458</v>
      </c>
      <c r="AD62" s="66">
        <f>'Ressourcenausgleich Basis'!AD144</f>
        <v>0.81687426314485434</v>
      </c>
      <c r="AE62" s="66">
        <f>'Ressourcenausgleich Basis'!AE144</f>
        <v>1.1967076620209849</v>
      </c>
      <c r="AF62" s="66">
        <f>'Ressourcenausgleich Basis'!AF144</f>
        <v>0.81750571310945885</v>
      </c>
      <c r="AG62" s="66">
        <f>'Ressourcenausgleich Basis'!AG144</f>
        <v>0.86799667258572011</v>
      </c>
      <c r="AH62" s="66">
        <f>'Ressourcenausgleich Basis'!AH144</f>
        <v>0.94824513200206451</v>
      </c>
      <c r="AI62" s="66">
        <f>'Ressourcenausgleich Basis'!AI144</f>
        <v>0.82200323447680079</v>
      </c>
      <c r="AJ62" s="66">
        <f>'Ressourcenausgleich Basis'!AJ144</f>
        <v>0.73804809687059125</v>
      </c>
      <c r="AK62" s="66">
        <f>'Ressourcenausgleich Basis'!AK144</f>
        <v>0.83405821791691837</v>
      </c>
      <c r="AL62" s="66">
        <f>'Ressourcenausgleich Basis'!AL144</f>
        <v>0.78811988252830489</v>
      </c>
      <c r="AM62" s="66">
        <f>'Ressourcenausgleich Basis'!AM144</f>
        <v>1.0421080339249864</v>
      </c>
      <c r="AN62" s="66">
        <f>'Ressourcenausgleich Basis'!AN144</f>
        <v>0.71394284140573883</v>
      </c>
      <c r="AO62" s="66">
        <f>'Ressourcenausgleich Basis'!AO144</f>
        <v>0.80624106144389329</v>
      </c>
      <c r="AP62" s="66">
        <f>'Ressourcenausgleich Basis'!AP144</f>
        <v>0.79568889425117706</v>
      </c>
      <c r="AQ62" s="66">
        <f>'Ressourcenausgleich Basis'!AQ144</f>
        <v>0.8560914166821989</v>
      </c>
      <c r="AR62" s="66">
        <f>'Ressourcenausgleich Basis'!AR144</f>
        <v>0.93420178533735465</v>
      </c>
      <c r="AS62" s="66">
        <f>'Ressourcenausgleich Basis'!AS144</f>
        <v>1.1313172574136596</v>
      </c>
      <c r="AT62" s="66">
        <f>'Ressourcenausgleich Basis'!AT144</f>
        <v>1.0633742599435572</v>
      </c>
      <c r="AU62" s="66">
        <f>'Ressourcenausgleich Basis'!AU144</f>
        <v>0.71508869166346534</v>
      </c>
      <c r="AV62" s="66">
        <f>'Ressourcenausgleich Basis'!AV144</f>
        <v>0.76827115875613183</v>
      </c>
      <c r="AW62" s="66">
        <f>'Ressourcenausgleich Basis'!AW144</f>
        <v>0.79466206220593227</v>
      </c>
      <c r="AX62" s="66">
        <f>'Ressourcenausgleich Basis'!AX144</f>
        <v>1.026879615235865</v>
      </c>
      <c r="AY62" s="66">
        <f>'Ressourcenausgleich Basis'!AY144</f>
        <v>0.88631215306032463</v>
      </c>
      <c r="AZ62" s="66">
        <f>'Ressourcenausgleich Basis'!AZ144</f>
        <v>1.0461646111631056</v>
      </c>
      <c r="BA62" s="66">
        <f>'Ressourcenausgleich Basis'!BA144</f>
        <v>1.6441212534423546</v>
      </c>
      <c r="BB62" s="66">
        <f>'Ressourcenausgleich Basis'!BB144</f>
        <v>0.92116363225765319</v>
      </c>
      <c r="BC62" s="66">
        <f>'Ressourcenausgleich Basis'!BC144</f>
        <v>0.94226051602666583</v>
      </c>
      <c r="BD62" s="66">
        <f>'Ressourcenausgleich Basis'!BD144</f>
        <v>0.72268752877246534</v>
      </c>
      <c r="BE62" s="66">
        <f>'Ressourcenausgleich Basis'!BE144</f>
        <v>0.74278556085156178</v>
      </c>
      <c r="BF62" s="66">
        <f>'Ressourcenausgleich Basis'!BF144</f>
        <v>0.71368843720716824</v>
      </c>
      <c r="BG62" s="66">
        <f>'Ressourcenausgleich Basis'!BG144</f>
        <v>0.770002148126399</v>
      </c>
      <c r="BH62" s="66">
        <f>'Ressourcenausgleich Basis'!BH144</f>
        <v>0.64082877588375553</v>
      </c>
      <c r="BI62" s="66">
        <f>'Ressourcenausgleich Basis'!BI144</f>
        <v>0.76931510661689473</v>
      </c>
      <c r="BJ62" s="66">
        <f>'Ressourcenausgleich Basis'!BJ144</f>
        <v>0.72709667484145246</v>
      </c>
      <c r="BK62" s="66">
        <f>'Ressourcenausgleich Basis'!BK144</f>
        <v>0.63497087805844654</v>
      </c>
      <c r="BL62" s="66">
        <f>'Ressourcenausgleich Basis'!BL144</f>
        <v>0.82814863069677958</v>
      </c>
      <c r="BM62" s="66">
        <f>'Ressourcenausgleich Basis'!BM144</f>
        <v>0.88042347850978686</v>
      </c>
      <c r="BN62" s="66">
        <f>'Ressourcenausgleich Basis'!BN144</f>
        <v>0.86554846725781054</v>
      </c>
      <c r="BO62" s="66">
        <f>'Ressourcenausgleich Basis'!BO144</f>
        <v>0.83317857596585143</v>
      </c>
      <c r="BP62" s="66">
        <f>'Ressourcenausgleich Basis'!BP144</f>
        <v>0.79828177847977422</v>
      </c>
      <c r="BQ62" s="66">
        <f>'Ressourcenausgleich Basis'!BQ144</f>
        <v>0.73727805822289161</v>
      </c>
      <c r="BR62" s="66">
        <f>'Ressourcenausgleich Basis'!BR144</f>
        <v>1.0635598091078788</v>
      </c>
      <c r="BS62" s="66">
        <f>'Ressourcenausgleich Basis'!BS144</f>
        <v>1.2668070475387214</v>
      </c>
      <c r="BT62" s="66">
        <f>'Ressourcenausgleich Basis'!BT144</f>
        <v>0.99651764285213595</v>
      </c>
      <c r="BU62" s="66">
        <f>'Ressourcenausgleich Basis'!BU144</f>
        <v>0.83430414959245047</v>
      </c>
      <c r="BV62" s="66">
        <f>'Ressourcenausgleich Basis'!BV144</f>
        <v>0.83854988237334227</v>
      </c>
      <c r="BW62" s="66">
        <f>'Ressourcenausgleich Basis'!BW144</f>
        <v>0.98189563623018072</v>
      </c>
      <c r="BX62" s="66">
        <f>'Ressourcenausgleich Basis'!BX144</f>
        <v>0.95702583379129624</v>
      </c>
      <c r="BY62" s="66">
        <f>'Ressourcenausgleich Basis'!BY144</f>
        <v>0.82605404058658627</v>
      </c>
      <c r="BZ62" s="66">
        <f>'Ressourcenausgleich Basis'!BZ144</f>
        <v>1.1321875263527397</v>
      </c>
      <c r="CB62" s="33"/>
    </row>
    <row r="63" spans="1:80" x14ac:dyDescent="0.2">
      <c r="C63" s="5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</row>
    <row r="64" spans="1:80" x14ac:dyDescent="0.2">
      <c r="B64" s="3" t="s">
        <v>142</v>
      </c>
      <c r="C64" s="5"/>
      <c r="D64" s="66">
        <f>IF(D62&lt;100%,0%,IF(D62&gt;120%,100%,(-100%+D62)/20*100))</f>
        <v>0.46063673674924255</v>
      </c>
      <c r="E64" s="66">
        <f t="shared" ref="E64:BN64" si="43">IF(E62&lt;100%,0%,IF(E62&gt;120%,100%,(-100%+E62)/20*100))</f>
        <v>0</v>
      </c>
      <c r="F64" s="66">
        <f t="shared" si="43"/>
        <v>0</v>
      </c>
      <c r="G64" s="66">
        <f t="shared" si="43"/>
        <v>0</v>
      </c>
      <c r="H64" s="66">
        <f t="shared" si="43"/>
        <v>1</v>
      </c>
      <c r="I64" s="66">
        <f t="shared" si="43"/>
        <v>0.62072464348179146</v>
      </c>
      <c r="J64" s="66">
        <f t="shared" si="43"/>
        <v>0.14293917858031024</v>
      </c>
      <c r="K64" s="66">
        <f t="shared" si="43"/>
        <v>0.52881058037447692</v>
      </c>
      <c r="L64" s="66">
        <f t="shared" si="43"/>
        <v>1</v>
      </c>
      <c r="M64" s="66">
        <f t="shared" si="43"/>
        <v>0</v>
      </c>
      <c r="N64" s="66">
        <f t="shared" si="43"/>
        <v>0</v>
      </c>
      <c r="O64" s="66">
        <f t="shared" si="43"/>
        <v>0.11663068429203949</v>
      </c>
      <c r="P64" s="66">
        <f t="shared" si="43"/>
        <v>0</v>
      </c>
      <c r="Q64" s="66">
        <f t="shared" si="43"/>
        <v>1</v>
      </c>
      <c r="R64" s="66">
        <f t="shared" si="43"/>
        <v>0</v>
      </c>
      <c r="S64" s="66">
        <f t="shared" si="43"/>
        <v>0</v>
      </c>
      <c r="T64" s="66">
        <f t="shared" si="43"/>
        <v>0.6360416841118588</v>
      </c>
      <c r="U64" s="66">
        <f t="shared" si="43"/>
        <v>0.99362034331379467</v>
      </c>
      <c r="V64" s="66">
        <f t="shared" si="43"/>
        <v>1</v>
      </c>
      <c r="W64" s="66">
        <f t="shared" si="43"/>
        <v>0.30509442285148514</v>
      </c>
      <c r="X64" s="66">
        <f t="shared" si="43"/>
        <v>0.52191511176858496</v>
      </c>
      <c r="Y64" s="66">
        <f t="shared" si="43"/>
        <v>0</v>
      </c>
      <c r="Z64" s="66">
        <f t="shared" si="43"/>
        <v>0</v>
      </c>
      <c r="AA64" s="66">
        <f t="shared" si="43"/>
        <v>0</v>
      </c>
      <c r="AB64" s="66">
        <f t="shared" si="43"/>
        <v>0</v>
      </c>
      <c r="AC64" s="66">
        <f t="shared" si="43"/>
        <v>0</v>
      </c>
      <c r="AD64" s="66">
        <f t="shared" si="43"/>
        <v>0</v>
      </c>
      <c r="AE64" s="66">
        <f t="shared" si="43"/>
        <v>0.98353831010492454</v>
      </c>
      <c r="AF64" s="66">
        <f t="shared" si="43"/>
        <v>0</v>
      </c>
      <c r="AG64" s="66">
        <f t="shared" si="43"/>
        <v>0</v>
      </c>
      <c r="AH64" s="66">
        <f t="shared" si="43"/>
        <v>0</v>
      </c>
      <c r="AI64" s="66">
        <f t="shared" si="43"/>
        <v>0</v>
      </c>
      <c r="AJ64" s="66">
        <f t="shared" si="43"/>
        <v>0</v>
      </c>
      <c r="AK64" s="66">
        <f t="shared" si="43"/>
        <v>0</v>
      </c>
      <c r="AL64" s="66">
        <f t="shared" si="43"/>
        <v>0</v>
      </c>
      <c r="AM64" s="66">
        <f t="shared" si="43"/>
        <v>0.21054016962493205</v>
      </c>
      <c r="AN64" s="66">
        <f t="shared" si="43"/>
        <v>0</v>
      </c>
      <c r="AO64" s="66">
        <f t="shared" si="43"/>
        <v>0</v>
      </c>
      <c r="AP64" s="66">
        <f t="shared" si="43"/>
        <v>0</v>
      </c>
      <c r="AQ64" s="66">
        <f t="shared" si="43"/>
        <v>0</v>
      </c>
      <c r="AR64" s="66">
        <f t="shared" si="43"/>
        <v>0</v>
      </c>
      <c r="AS64" s="66">
        <f t="shared" si="43"/>
        <v>0.65658628706829814</v>
      </c>
      <c r="AT64" s="66">
        <f t="shared" si="43"/>
        <v>0.31687129971778583</v>
      </c>
      <c r="AU64" s="66">
        <f t="shared" si="43"/>
        <v>0</v>
      </c>
      <c r="AV64" s="66">
        <f t="shared" si="43"/>
        <v>0</v>
      </c>
      <c r="AW64" s="66">
        <f t="shared" si="43"/>
        <v>0</v>
      </c>
      <c r="AX64" s="66">
        <f t="shared" si="43"/>
        <v>0.13439807617932509</v>
      </c>
      <c r="AY64" s="66">
        <f t="shared" si="43"/>
        <v>0</v>
      </c>
      <c r="AZ64" s="66">
        <f t="shared" si="43"/>
        <v>0.23082305581552778</v>
      </c>
      <c r="BA64" s="66">
        <f t="shared" si="43"/>
        <v>1</v>
      </c>
      <c r="BB64" s="66">
        <f t="shared" si="43"/>
        <v>0</v>
      </c>
      <c r="BC64" s="66">
        <f t="shared" si="43"/>
        <v>0</v>
      </c>
      <c r="BD64" s="66">
        <f t="shared" si="43"/>
        <v>0</v>
      </c>
      <c r="BE64" s="66">
        <f t="shared" si="43"/>
        <v>0</v>
      </c>
      <c r="BF64" s="66">
        <f t="shared" si="43"/>
        <v>0</v>
      </c>
      <c r="BG64" s="66">
        <f t="shared" si="43"/>
        <v>0</v>
      </c>
      <c r="BH64" s="66">
        <f t="shared" ref="BH64" si="44">IF(BH62&lt;100%,0%,IF(BH62&gt;120%,100%,(-100%+BH62)/20*100))</f>
        <v>0</v>
      </c>
      <c r="BI64" s="66">
        <f t="shared" si="43"/>
        <v>0</v>
      </c>
      <c r="BJ64" s="66">
        <f t="shared" si="43"/>
        <v>0</v>
      </c>
      <c r="BK64" s="66">
        <f t="shared" si="43"/>
        <v>0</v>
      </c>
      <c r="BL64" s="66">
        <f t="shared" si="43"/>
        <v>0</v>
      </c>
      <c r="BM64" s="66">
        <f t="shared" si="43"/>
        <v>0</v>
      </c>
      <c r="BN64" s="66">
        <f t="shared" si="43"/>
        <v>0</v>
      </c>
      <c r="BO64" s="66">
        <f t="shared" ref="BO64:BZ64" si="45">IF(BO62&lt;100%,0%,IF(BO62&gt;120%,100%,(-100%+BO62)/20*100))</f>
        <v>0</v>
      </c>
      <c r="BP64" s="66">
        <f t="shared" si="45"/>
        <v>0</v>
      </c>
      <c r="BQ64" s="66">
        <f t="shared" si="45"/>
        <v>0</v>
      </c>
      <c r="BR64" s="66">
        <f t="shared" si="45"/>
        <v>0.3177990455393942</v>
      </c>
      <c r="BS64" s="66">
        <f t="shared" si="45"/>
        <v>1</v>
      </c>
      <c r="BT64" s="66">
        <f t="shared" si="45"/>
        <v>0</v>
      </c>
      <c r="BU64" s="66">
        <f t="shared" si="45"/>
        <v>0</v>
      </c>
      <c r="BV64" s="66">
        <f t="shared" si="45"/>
        <v>0</v>
      </c>
      <c r="BW64" s="66">
        <f t="shared" si="45"/>
        <v>0</v>
      </c>
      <c r="BX64" s="66">
        <f t="shared" si="45"/>
        <v>0</v>
      </c>
      <c r="BY64" s="66">
        <f t="shared" si="45"/>
        <v>0</v>
      </c>
      <c r="BZ64" s="66">
        <f t="shared" si="45"/>
        <v>0.66093763176369835</v>
      </c>
    </row>
    <row r="65" spans="1:80" s="5" customFormat="1" x14ac:dyDescent="0.2">
      <c r="A65" s="4"/>
      <c r="B65" s="4" t="s">
        <v>146</v>
      </c>
      <c r="D65" s="5">
        <f t="shared" ref="D65:AI65" si="46">D58*-D64</f>
        <v>0</v>
      </c>
      <c r="E65" s="5">
        <f t="shared" si="46"/>
        <v>0</v>
      </c>
      <c r="F65" s="5">
        <f t="shared" si="46"/>
        <v>0</v>
      </c>
      <c r="G65" s="5">
        <f t="shared" si="46"/>
        <v>0</v>
      </c>
      <c r="H65" s="5">
        <f t="shared" si="46"/>
        <v>-78181.1975494402</v>
      </c>
      <c r="I65" s="5">
        <f t="shared" si="46"/>
        <v>0</v>
      </c>
      <c r="J65" s="5">
        <f t="shared" si="46"/>
        <v>0</v>
      </c>
      <c r="K65" s="5">
        <f t="shared" si="46"/>
        <v>-28061.703937552335</v>
      </c>
      <c r="L65" s="5">
        <f t="shared" si="46"/>
        <v>0</v>
      </c>
      <c r="M65" s="5">
        <f t="shared" si="46"/>
        <v>0</v>
      </c>
      <c r="N65" s="5">
        <f t="shared" si="46"/>
        <v>0</v>
      </c>
      <c r="O65" s="5">
        <f t="shared" si="46"/>
        <v>0</v>
      </c>
      <c r="P65" s="5">
        <f t="shared" si="46"/>
        <v>0</v>
      </c>
      <c r="Q65" s="5">
        <f t="shared" si="46"/>
        <v>0</v>
      </c>
      <c r="R65" s="5">
        <f t="shared" si="46"/>
        <v>0</v>
      </c>
      <c r="S65" s="5">
        <f t="shared" si="46"/>
        <v>0</v>
      </c>
      <c r="T65" s="5">
        <f t="shared" si="46"/>
        <v>0</v>
      </c>
      <c r="U65" s="5">
        <f t="shared" si="46"/>
        <v>0</v>
      </c>
      <c r="V65" s="5">
        <f t="shared" si="46"/>
        <v>0</v>
      </c>
      <c r="W65" s="5">
        <f t="shared" si="46"/>
        <v>0</v>
      </c>
      <c r="X65" s="5">
        <f t="shared" si="46"/>
        <v>0</v>
      </c>
      <c r="Y65" s="5">
        <f t="shared" si="46"/>
        <v>0</v>
      </c>
      <c r="Z65" s="5">
        <f t="shared" si="46"/>
        <v>0</v>
      </c>
      <c r="AA65" s="5">
        <f t="shared" si="46"/>
        <v>0</v>
      </c>
      <c r="AB65" s="5">
        <f t="shared" si="46"/>
        <v>0</v>
      </c>
      <c r="AC65" s="5">
        <f t="shared" si="46"/>
        <v>0</v>
      </c>
      <c r="AD65" s="5">
        <f t="shared" si="46"/>
        <v>0</v>
      </c>
      <c r="AE65" s="5">
        <f t="shared" si="46"/>
        <v>-791317.05364139192</v>
      </c>
      <c r="AF65" s="5">
        <f t="shared" si="46"/>
        <v>0</v>
      </c>
      <c r="AG65" s="5">
        <f t="shared" si="46"/>
        <v>0</v>
      </c>
      <c r="AH65" s="5">
        <f t="shared" si="46"/>
        <v>0</v>
      </c>
      <c r="AI65" s="5">
        <f t="shared" si="46"/>
        <v>0</v>
      </c>
      <c r="AJ65" s="5">
        <f t="shared" ref="AJ65:BM65" si="47">AJ58*-AJ64</f>
        <v>0</v>
      </c>
      <c r="AK65" s="5">
        <f t="shared" si="47"/>
        <v>0</v>
      </c>
      <c r="AL65" s="5">
        <f t="shared" si="47"/>
        <v>0</v>
      </c>
      <c r="AM65" s="5">
        <f t="shared" si="47"/>
        <v>0</v>
      </c>
      <c r="AN65" s="5">
        <f t="shared" si="47"/>
        <v>0</v>
      </c>
      <c r="AO65" s="5">
        <f t="shared" si="47"/>
        <v>0</v>
      </c>
      <c r="AP65" s="5">
        <f t="shared" si="47"/>
        <v>0</v>
      </c>
      <c r="AQ65" s="5">
        <f t="shared" si="47"/>
        <v>0</v>
      </c>
      <c r="AR65" s="5">
        <f t="shared" si="47"/>
        <v>0</v>
      </c>
      <c r="AS65" s="5">
        <f t="shared" si="47"/>
        <v>-1000968.642946329</v>
      </c>
      <c r="AT65" s="5">
        <f t="shared" si="47"/>
        <v>0</v>
      </c>
      <c r="AU65" s="5">
        <f t="shared" si="47"/>
        <v>0</v>
      </c>
      <c r="AV65" s="5">
        <f t="shared" si="47"/>
        <v>0</v>
      </c>
      <c r="AW65" s="5">
        <f t="shared" si="47"/>
        <v>0</v>
      </c>
      <c r="AX65" s="5">
        <f t="shared" si="47"/>
        <v>-26766.752521907008</v>
      </c>
      <c r="AY65" s="5">
        <f t="shared" si="47"/>
        <v>0</v>
      </c>
      <c r="AZ65" s="5">
        <f t="shared" si="47"/>
        <v>0</v>
      </c>
      <c r="BA65" s="5">
        <f t="shared" si="47"/>
        <v>0</v>
      </c>
      <c r="BB65" s="5">
        <f t="shared" si="47"/>
        <v>0</v>
      </c>
      <c r="BC65" s="5">
        <f t="shared" si="47"/>
        <v>0</v>
      </c>
      <c r="BD65" s="5">
        <f t="shared" si="47"/>
        <v>0</v>
      </c>
      <c r="BE65" s="5">
        <f t="shared" si="47"/>
        <v>0</v>
      </c>
      <c r="BF65" s="5">
        <f t="shared" si="47"/>
        <v>0</v>
      </c>
      <c r="BG65" s="5">
        <f t="shared" si="47"/>
        <v>0</v>
      </c>
      <c r="BH65" s="5">
        <f t="shared" ref="BH65" si="48">BH58*-BH64</f>
        <v>0</v>
      </c>
      <c r="BI65" s="5">
        <f t="shared" si="47"/>
        <v>0</v>
      </c>
      <c r="BJ65" s="5">
        <f t="shared" si="47"/>
        <v>0</v>
      </c>
      <c r="BK65" s="5">
        <f t="shared" si="47"/>
        <v>0</v>
      </c>
      <c r="BL65" s="5">
        <f t="shared" si="47"/>
        <v>0</v>
      </c>
      <c r="BM65" s="5">
        <f t="shared" si="47"/>
        <v>0</v>
      </c>
      <c r="BN65" s="5">
        <f t="shared" ref="BN65:BZ65" si="49">BN58*-BN64</f>
        <v>0</v>
      </c>
      <c r="BO65" s="5">
        <f t="shared" si="49"/>
        <v>0</v>
      </c>
      <c r="BP65" s="5">
        <f t="shared" si="49"/>
        <v>0</v>
      </c>
      <c r="BQ65" s="5">
        <f t="shared" si="49"/>
        <v>0</v>
      </c>
      <c r="BR65" s="5">
        <f t="shared" si="49"/>
        <v>0</v>
      </c>
      <c r="BS65" s="5">
        <f t="shared" si="49"/>
        <v>0</v>
      </c>
      <c r="BT65" s="5">
        <f t="shared" si="49"/>
        <v>0</v>
      </c>
      <c r="BU65" s="5">
        <f t="shared" si="49"/>
        <v>0</v>
      </c>
      <c r="BV65" s="5">
        <f t="shared" si="49"/>
        <v>0</v>
      </c>
      <c r="BW65" s="5">
        <f t="shared" si="49"/>
        <v>0</v>
      </c>
      <c r="BX65" s="5">
        <f t="shared" si="49"/>
        <v>0</v>
      </c>
      <c r="BY65" s="5">
        <f t="shared" si="49"/>
        <v>0</v>
      </c>
      <c r="BZ65" s="5">
        <f t="shared" si="49"/>
        <v>0</v>
      </c>
      <c r="CA65" s="4"/>
      <c r="CB65" s="4"/>
    </row>
    <row r="66" spans="1:80" x14ac:dyDescent="0.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80" x14ac:dyDescent="0.2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80" s="57" customFormat="1" ht="15.75" x14ac:dyDescent="0.25">
      <c r="A68" s="69" t="s">
        <v>99</v>
      </c>
      <c r="B68" s="69" t="s">
        <v>144</v>
      </c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69"/>
      <c r="CB68" s="69"/>
    </row>
    <row r="69" spans="1:80" x14ac:dyDescent="0.2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80" s="32" customFormat="1" x14ac:dyDescent="0.2">
      <c r="A70" s="21"/>
      <c r="B70" s="32" t="s">
        <v>174</v>
      </c>
      <c r="C70" s="15">
        <f>SUM(D70:BZ70)</f>
        <v>39538322.480797648</v>
      </c>
      <c r="D70" s="15">
        <f t="shared" ref="D70:AI70" si="50">D58</f>
        <v>0</v>
      </c>
      <c r="E70" s="15">
        <f t="shared" si="50"/>
        <v>0</v>
      </c>
      <c r="F70" s="15">
        <f t="shared" si="50"/>
        <v>407359.1330400001</v>
      </c>
      <c r="G70" s="15">
        <f t="shared" si="50"/>
        <v>629865.79406999995</v>
      </c>
      <c r="H70" s="15">
        <f t="shared" si="50"/>
        <v>78181.1975494402</v>
      </c>
      <c r="I70" s="15">
        <f t="shared" si="50"/>
        <v>0</v>
      </c>
      <c r="J70" s="15">
        <f t="shared" si="50"/>
        <v>0</v>
      </c>
      <c r="K70" s="15">
        <f t="shared" si="50"/>
        <v>53065.70061</v>
      </c>
      <c r="L70" s="15">
        <f t="shared" si="50"/>
        <v>0</v>
      </c>
      <c r="M70" s="15">
        <f t="shared" si="50"/>
        <v>296753.27718000009</v>
      </c>
      <c r="N70" s="15">
        <f t="shared" si="50"/>
        <v>640383.31349607161</v>
      </c>
      <c r="O70" s="15">
        <f t="shared" si="50"/>
        <v>0</v>
      </c>
      <c r="P70" s="15">
        <f t="shared" si="50"/>
        <v>0</v>
      </c>
      <c r="Q70" s="15">
        <f t="shared" si="50"/>
        <v>0</v>
      </c>
      <c r="R70" s="15">
        <f t="shared" si="50"/>
        <v>0</v>
      </c>
      <c r="S70" s="15">
        <f t="shared" si="50"/>
        <v>0</v>
      </c>
      <c r="T70" s="15">
        <f t="shared" si="50"/>
        <v>0</v>
      </c>
      <c r="U70" s="15">
        <f t="shared" si="50"/>
        <v>0</v>
      </c>
      <c r="V70" s="15">
        <f t="shared" si="50"/>
        <v>0</v>
      </c>
      <c r="W70" s="15">
        <f t="shared" si="50"/>
        <v>0</v>
      </c>
      <c r="X70" s="15">
        <f t="shared" si="50"/>
        <v>0</v>
      </c>
      <c r="Y70" s="15">
        <f t="shared" si="50"/>
        <v>0</v>
      </c>
      <c r="Z70" s="15">
        <f t="shared" si="50"/>
        <v>140188.07832000009</v>
      </c>
      <c r="AA70" s="15">
        <f t="shared" si="50"/>
        <v>1069875.1961400006</v>
      </c>
      <c r="AB70" s="15">
        <f t="shared" si="50"/>
        <v>240700.18180028675</v>
      </c>
      <c r="AC70" s="15">
        <f t="shared" si="50"/>
        <v>1487008.5630673375</v>
      </c>
      <c r="AD70" s="15">
        <f t="shared" si="50"/>
        <v>267285.44652999984</v>
      </c>
      <c r="AE70" s="15">
        <f t="shared" si="50"/>
        <v>804561.49548152694</v>
      </c>
      <c r="AF70" s="15">
        <f t="shared" si="50"/>
        <v>447182.19797999994</v>
      </c>
      <c r="AG70" s="15">
        <f t="shared" si="50"/>
        <v>1049367.1633899999</v>
      </c>
      <c r="AH70" s="15">
        <f t="shared" si="50"/>
        <v>0</v>
      </c>
      <c r="AI70" s="15">
        <f t="shared" si="50"/>
        <v>147874.50540999998</v>
      </c>
      <c r="AJ70" s="15">
        <f t="shared" ref="AJ70:BM70" si="51">AJ58</f>
        <v>383717.97458767961</v>
      </c>
      <c r="AK70" s="15">
        <f t="shared" si="51"/>
        <v>0</v>
      </c>
      <c r="AL70" s="15">
        <f t="shared" si="51"/>
        <v>178679.76645000023</v>
      </c>
      <c r="AM70" s="15">
        <f t="shared" si="51"/>
        <v>0</v>
      </c>
      <c r="AN70" s="15">
        <f t="shared" si="51"/>
        <v>2370867.4746194715</v>
      </c>
      <c r="AO70" s="15">
        <f t="shared" si="51"/>
        <v>1186759.6089400002</v>
      </c>
      <c r="AP70" s="15">
        <f t="shared" si="51"/>
        <v>1073192.1711500003</v>
      </c>
      <c r="AQ70" s="15">
        <f t="shared" si="51"/>
        <v>0</v>
      </c>
      <c r="AR70" s="15">
        <f t="shared" si="51"/>
        <v>481074.28672895138</v>
      </c>
      <c r="AS70" s="15">
        <f t="shared" si="51"/>
        <v>1524504.33806</v>
      </c>
      <c r="AT70" s="15">
        <f t="shared" si="51"/>
        <v>0</v>
      </c>
      <c r="AU70" s="15">
        <f t="shared" si="51"/>
        <v>333444.95456999983</v>
      </c>
      <c r="AV70" s="15">
        <f t="shared" si="51"/>
        <v>193179.20921</v>
      </c>
      <c r="AW70" s="15">
        <f t="shared" si="51"/>
        <v>0</v>
      </c>
      <c r="AX70" s="15">
        <f t="shared" si="51"/>
        <v>199160.23564349674</v>
      </c>
      <c r="AY70" s="15">
        <f t="shared" si="51"/>
        <v>0</v>
      </c>
      <c r="AZ70" s="15">
        <f t="shared" si="51"/>
        <v>0</v>
      </c>
      <c r="BA70" s="15">
        <f t="shared" si="51"/>
        <v>0</v>
      </c>
      <c r="BB70" s="15">
        <f t="shared" si="51"/>
        <v>1431111.1389285829</v>
      </c>
      <c r="BC70" s="15">
        <f t="shared" si="51"/>
        <v>2262008.7666104562</v>
      </c>
      <c r="BD70" s="15">
        <f t="shared" si="51"/>
        <v>2389897.5386599991</v>
      </c>
      <c r="BE70" s="15">
        <f t="shared" si="51"/>
        <v>1419060.8355400008</v>
      </c>
      <c r="BF70" s="15">
        <f t="shared" si="51"/>
        <v>1089502.7153399996</v>
      </c>
      <c r="BG70" s="15">
        <f t="shared" si="51"/>
        <v>0</v>
      </c>
      <c r="BH70" s="15">
        <f t="shared" ref="BH70" si="52">BH58</f>
        <v>5069359.6296224389</v>
      </c>
      <c r="BI70" s="15">
        <f t="shared" si="51"/>
        <v>700799.72909000004</v>
      </c>
      <c r="BJ70" s="15">
        <f t="shared" si="51"/>
        <v>633033.55439552781</v>
      </c>
      <c r="BK70" s="15">
        <f t="shared" si="51"/>
        <v>1942573.6992099993</v>
      </c>
      <c r="BL70" s="15">
        <f t="shared" si="51"/>
        <v>2197904.3034537332</v>
      </c>
      <c r="BM70" s="15">
        <f t="shared" si="51"/>
        <v>0</v>
      </c>
      <c r="BN70" s="15">
        <f t="shared" ref="BN70:BZ70" si="53">BN58</f>
        <v>0</v>
      </c>
      <c r="BO70" s="15">
        <f t="shared" si="53"/>
        <v>0</v>
      </c>
      <c r="BP70" s="15">
        <f t="shared" si="53"/>
        <v>0</v>
      </c>
      <c r="BQ70" s="15">
        <f t="shared" si="53"/>
        <v>898619.47964000003</v>
      </c>
      <c r="BR70" s="15">
        <f t="shared" si="53"/>
        <v>0</v>
      </c>
      <c r="BS70" s="15">
        <f t="shared" si="53"/>
        <v>0</v>
      </c>
      <c r="BT70" s="15">
        <f t="shared" si="53"/>
        <v>739094.46235812688</v>
      </c>
      <c r="BU70" s="15">
        <f t="shared" si="53"/>
        <v>548218.75229999982</v>
      </c>
      <c r="BV70" s="15">
        <f t="shared" si="53"/>
        <v>583892.71401246521</v>
      </c>
      <c r="BW70" s="15">
        <f t="shared" si="53"/>
        <v>0</v>
      </c>
      <c r="BX70" s="15">
        <f t="shared" si="53"/>
        <v>114431.97775000008</v>
      </c>
      <c r="BY70" s="15">
        <f t="shared" si="53"/>
        <v>1834581.9198620506</v>
      </c>
      <c r="BZ70" s="15">
        <f t="shared" si="53"/>
        <v>0</v>
      </c>
      <c r="CA70" s="21"/>
      <c r="CB70" s="21"/>
    </row>
    <row r="71" spans="1:80" s="32" customFormat="1" x14ac:dyDescent="0.2">
      <c r="A71" s="21"/>
      <c r="C71" s="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21"/>
      <c r="CB71" s="21"/>
    </row>
    <row r="72" spans="1:80" x14ac:dyDescent="0.2">
      <c r="B72" s="38" t="s">
        <v>139</v>
      </c>
      <c r="C72" s="5">
        <f>SUM(D72:BZ72)</f>
        <v>-1925295.3505966202</v>
      </c>
      <c r="D72" s="5">
        <f t="shared" ref="D72:AI72" si="54">D65</f>
        <v>0</v>
      </c>
      <c r="E72" s="5">
        <f t="shared" si="54"/>
        <v>0</v>
      </c>
      <c r="F72" s="5">
        <f t="shared" si="54"/>
        <v>0</v>
      </c>
      <c r="G72" s="5">
        <f t="shared" si="54"/>
        <v>0</v>
      </c>
      <c r="H72" s="5">
        <f t="shared" si="54"/>
        <v>-78181.1975494402</v>
      </c>
      <c r="I72" s="5">
        <f t="shared" si="54"/>
        <v>0</v>
      </c>
      <c r="J72" s="5">
        <f t="shared" si="54"/>
        <v>0</v>
      </c>
      <c r="K72" s="5">
        <f t="shared" si="54"/>
        <v>-28061.703937552335</v>
      </c>
      <c r="L72" s="5">
        <f t="shared" si="54"/>
        <v>0</v>
      </c>
      <c r="M72" s="5">
        <f t="shared" si="54"/>
        <v>0</v>
      </c>
      <c r="N72" s="5">
        <f t="shared" si="54"/>
        <v>0</v>
      </c>
      <c r="O72" s="5">
        <f t="shared" si="54"/>
        <v>0</v>
      </c>
      <c r="P72" s="5">
        <f t="shared" si="54"/>
        <v>0</v>
      </c>
      <c r="Q72" s="5">
        <f t="shared" si="54"/>
        <v>0</v>
      </c>
      <c r="R72" s="5">
        <f t="shared" si="54"/>
        <v>0</v>
      </c>
      <c r="S72" s="5">
        <f t="shared" si="54"/>
        <v>0</v>
      </c>
      <c r="T72" s="5">
        <f t="shared" si="54"/>
        <v>0</v>
      </c>
      <c r="U72" s="5">
        <f t="shared" si="54"/>
        <v>0</v>
      </c>
      <c r="V72" s="5">
        <f t="shared" si="54"/>
        <v>0</v>
      </c>
      <c r="W72" s="5">
        <f t="shared" si="54"/>
        <v>0</v>
      </c>
      <c r="X72" s="5">
        <f t="shared" si="54"/>
        <v>0</v>
      </c>
      <c r="Y72" s="5">
        <f t="shared" si="54"/>
        <v>0</v>
      </c>
      <c r="Z72" s="5">
        <f t="shared" si="54"/>
        <v>0</v>
      </c>
      <c r="AA72" s="5">
        <f t="shared" si="54"/>
        <v>0</v>
      </c>
      <c r="AB72" s="5">
        <f t="shared" si="54"/>
        <v>0</v>
      </c>
      <c r="AC72" s="5">
        <f t="shared" si="54"/>
        <v>0</v>
      </c>
      <c r="AD72" s="5">
        <f t="shared" si="54"/>
        <v>0</v>
      </c>
      <c r="AE72" s="5">
        <f t="shared" si="54"/>
        <v>-791317.05364139192</v>
      </c>
      <c r="AF72" s="5">
        <f t="shared" si="54"/>
        <v>0</v>
      </c>
      <c r="AG72" s="5">
        <f t="shared" si="54"/>
        <v>0</v>
      </c>
      <c r="AH72" s="5">
        <f t="shared" si="54"/>
        <v>0</v>
      </c>
      <c r="AI72" s="5">
        <f t="shared" si="54"/>
        <v>0</v>
      </c>
      <c r="AJ72" s="5">
        <f t="shared" ref="AJ72:BM72" si="55">AJ65</f>
        <v>0</v>
      </c>
      <c r="AK72" s="5">
        <f t="shared" si="55"/>
        <v>0</v>
      </c>
      <c r="AL72" s="5">
        <f t="shared" si="55"/>
        <v>0</v>
      </c>
      <c r="AM72" s="5">
        <f t="shared" si="55"/>
        <v>0</v>
      </c>
      <c r="AN72" s="5">
        <f t="shared" si="55"/>
        <v>0</v>
      </c>
      <c r="AO72" s="5">
        <f t="shared" si="55"/>
        <v>0</v>
      </c>
      <c r="AP72" s="5">
        <f t="shared" si="55"/>
        <v>0</v>
      </c>
      <c r="AQ72" s="5">
        <f t="shared" si="55"/>
        <v>0</v>
      </c>
      <c r="AR72" s="5">
        <f t="shared" si="55"/>
        <v>0</v>
      </c>
      <c r="AS72" s="5">
        <f t="shared" si="55"/>
        <v>-1000968.642946329</v>
      </c>
      <c r="AT72" s="5">
        <f t="shared" si="55"/>
        <v>0</v>
      </c>
      <c r="AU72" s="5">
        <f t="shared" si="55"/>
        <v>0</v>
      </c>
      <c r="AV72" s="5">
        <f t="shared" si="55"/>
        <v>0</v>
      </c>
      <c r="AW72" s="5">
        <f t="shared" si="55"/>
        <v>0</v>
      </c>
      <c r="AX72" s="5">
        <f t="shared" si="55"/>
        <v>-26766.752521907008</v>
      </c>
      <c r="AY72" s="5">
        <f t="shared" si="55"/>
        <v>0</v>
      </c>
      <c r="AZ72" s="5">
        <f t="shared" si="55"/>
        <v>0</v>
      </c>
      <c r="BA72" s="5">
        <f t="shared" si="55"/>
        <v>0</v>
      </c>
      <c r="BB72" s="5">
        <f t="shared" si="55"/>
        <v>0</v>
      </c>
      <c r="BC72" s="5">
        <f t="shared" si="55"/>
        <v>0</v>
      </c>
      <c r="BD72" s="5">
        <f t="shared" si="55"/>
        <v>0</v>
      </c>
      <c r="BE72" s="5">
        <f t="shared" si="55"/>
        <v>0</v>
      </c>
      <c r="BF72" s="5">
        <f t="shared" si="55"/>
        <v>0</v>
      </c>
      <c r="BG72" s="5">
        <f t="shared" si="55"/>
        <v>0</v>
      </c>
      <c r="BH72" s="5">
        <f t="shared" ref="BH72" si="56">BH65</f>
        <v>0</v>
      </c>
      <c r="BI72" s="5">
        <f t="shared" si="55"/>
        <v>0</v>
      </c>
      <c r="BJ72" s="5">
        <f t="shared" si="55"/>
        <v>0</v>
      </c>
      <c r="BK72" s="5">
        <f t="shared" si="55"/>
        <v>0</v>
      </c>
      <c r="BL72" s="5">
        <f t="shared" si="55"/>
        <v>0</v>
      </c>
      <c r="BM72" s="5">
        <f t="shared" si="55"/>
        <v>0</v>
      </c>
      <c r="BN72" s="5">
        <f t="shared" ref="BN72:BZ72" si="57">BN65</f>
        <v>0</v>
      </c>
      <c r="BO72" s="5">
        <f t="shared" si="57"/>
        <v>0</v>
      </c>
      <c r="BP72" s="5">
        <f t="shared" si="57"/>
        <v>0</v>
      </c>
      <c r="BQ72" s="5">
        <f t="shared" si="57"/>
        <v>0</v>
      </c>
      <c r="BR72" s="5">
        <f t="shared" si="57"/>
        <v>0</v>
      </c>
      <c r="BS72" s="5">
        <f t="shared" si="57"/>
        <v>0</v>
      </c>
      <c r="BT72" s="5">
        <f t="shared" si="57"/>
        <v>0</v>
      </c>
      <c r="BU72" s="5">
        <f t="shared" si="57"/>
        <v>0</v>
      </c>
      <c r="BV72" s="5">
        <f t="shared" si="57"/>
        <v>0</v>
      </c>
      <c r="BW72" s="5">
        <f t="shared" si="57"/>
        <v>0</v>
      </c>
      <c r="BX72" s="5">
        <f t="shared" si="57"/>
        <v>0</v>
      </c>
      <c r="BY72" s="5">
        <f t="shared" si="57"/>
        <v>0</v>
      </c>
      <c r="BZ72" s="5">
        <f t="shared" si="57"/>
        <v>0</v>
      </c>
    </row>
    <row r="73" spans="1:80" x14ac:dyDescent="0.2">
      <c r="B73" s="3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80" s="32" customFormat="1" x14ac:dyDescent="0.2">
      <c r="B74" s="147" t="s">
        <v>178</v>
      </c>
      <c r="C74" s="148">
        <f>SUM(D74:BZ74)</f>
        <v>37613300</v>
      </c>
      <c r="D74" s="148">
        <f>ROUND(D70+D72,-2)</f>
        <v>0</v>
      </c>
      <c r="E74" s="148">
        <f t="shared" ref="E74:BN74" si="58">ROUND(E70+E72,-2)</f>
        <v>0</v>
      </c>
      <c r="F74" s="148">
        <f t="shared" si="58"/>
        <v>407400</v>
      </c>
      <c r="G74" s="148">
        <f t="shared" si="58"/>
        <v>629900</v>
      </c>
      <c r="H74" s="148">
        <f t="shared" si="58"/>
        <v>0</v>
      </c>
      <c r="I74" s="148">
        <f t="shared" si="58"/>
        <v>0</v>
      </c>
      <c r="J74" s="148">
        <f t="shared" si="58"/>
        <v>0</v>
      </c>
      <c r="K74" s="148">
        <f t="shared" si="58"/>
        <v>25000</v>
      </c>
      <c r="L74" s="148">
        <f t="shared" si="58"/>
        <v>0</v>
      </c>
      <c r="M74" s="148">
        <f t="shared" si="58"/>
        <v>296800</v>
      </c>
      <c r="N74" s="148">
        <f t="shared" si="58"/>
        <v>640400</v>
      </c>
      <c r="O74" s="148">
        <f t="shared" si="58"/>
        <v>0</v>
      </c>
      <c r="P74" s="148">
        <f t="shared" si="58"/>
        <v>0</v>
      </c>
      <c r="Q74" s="148">
        <f t="shared" si="58"/>
        <v>0</v>
      </c>
      <c r="R74" s="148">
        <f t="shared" si="58"/>
        <v>0</v>
      </c>
      <c r="S74" s="148">
        <f t="shared" si="58"/>
        <v>0</v>
      </c>
      <c r="T74" s="148">
        <f t="shared" si="58"/>
        <v>0</v>
      </c>
      <c r="U74" s="148">
        <f t="shared" si="58"/>
        <v>0</v>
      </c>
      <c r="V74" s="148">
        <f t="shared" si="58"/>
        <v>0</v>
      </c>
      <c r="W74" s="148">
        <f t="shared" si="58"/>
        <v>0</v>
      </c>
      <c r="X74" s="148">
        <f t="shared" si="58"/>
        <v>0</v>
      </c>
      <c r="Y74" s="148">
        <f t="shared" si="58"/>
        <v>0</v>
      </c>
      <c r="Z74" s="148">
        <f t="shared" si="58"/>
        <v>140200</v>
      </c>
      <c r="AA74" s="148">
        <f t="shared" si="58"/>
        <v>1069900</v>
      </c>
      <c r="AB74" s="148">
        <f t="shared" si="58"/>
        <v>240700</v>
      </c>
      <c r="AC74" s="148">
        <f t="shared" si="58"/>
        <v>1487000</v>
      </c>
      <c r="AD74" s="148">
        <f t="shared" si="58"/>
        <v>267300</v>
      </c>
      <c r="AE74" s="148">
        <f t="shared" si="58"/>
        <v>13200</v>
      </c>
      <c r="AF74" s="148">
        <f t="shared" si="58"/>
        <v>447200</v>
      </c>
      <c r="AG74" s="148">
        <f t="shared" si="58"/>
        <v>1049400</v>
      </c>
      <c r="AH74" s="148">
        <f t="shared" si="58"/>
        <v>0</v>
      </c>
      <c r="AI74" s="148">
        <f t="shared" si="58"/>
        <v>147900</v>
      </c>
      <c r="AJ74" s="148">
        <f t="shared" si="58"/>
        <v>383700</v>
      </c>
      <c r="AK74" s="148">
        <f t="shared" si="58"/>
        <v>0</v>
      </c>
      <c r="AL74" s="148">
        <f t="shared" si="58"/>
        <v>178700</v>
      </c>
      <c r="AM74" s="148">
        <f t="shared" si="58"/>
        <v>0</v>
      </c>
      <c r="AN74" s="148">
        <f t="shared" si="58"/>
        <v>2370900</v>
      </c>
      <c r="AO74" s="148">
        <f t="shared" si="58"/>
        <v>1186800</v>
      </c>
      <c r="AP74" s="148">
        <f t="shared" si="58"/>
        <v>1073200</v>
      </c>
      <c r="AQ74" s="148">
        <f t="shared" si="58"/>
        <v>0</v>
      </c>
      <c r="AR74" s="148">
        <f t="shared" si="58"/>
        <v>481100</v>
      </c>
      <c r="AS74" s="148">
        <f t="shared" si="58"/>
        <v>523500</v>
      </c>
      <c r="AT74" s="148">
        <f t="shared" si="58"/>
        <v>0</v>
      </c>
      <c r="AU74" s="148">
        <f t="shared" si="58"/>
        <v>333400</v>
      </c>
      <c r="AV74" s="148">
        <f t="shared" si="58"/>
        <v>193200</v>
      </c>
      <c r="AW74" s="148">
        <f t="shared" si="58"/>
        <v>0</v>
      </c>
      <c r="AX74" s="148">
        <f t="shared" si="58"/>
        <v>172400</v>
      </c>
      <c r="AY74" s="148">
        <f t="shared" si="58"/>
        <v>0</v>
      </c>
      <c r="AZ74" s="148">
        <f t="shared" si="58"/>
        <v>0</v>
      </c>
      <c r="BA74" s="148">
        <f t="shared" si="58"/>
        <v>0</v>
      </c>
      <c r="BB74" s="148">
        <f t="shared" si="58"/>
        <v>1431100</v>
      </c>
      <c r="BC74" s="148">
        <f t="shared" si="58"/>
        <v>2262000</v>
      </c>
      <c r="BD74" s="148">
        <f t="shared" si="58"/>
        <v>2389900</v>
      </c>
      <c r="BE74" s="148">
        <f t="shared" si="58"/>
        <v>1419100</v>
      </c>
      <c r="BF74" s="148">
        <f t="shared" si="58"/>
        <v>1089500</v>
      </c>
      <c r="BG74" s="148">
        <f t="shared" si="58"/>
        <v>0</v>
      </c>
      <c r="BH74" s="148">
        <f t="shared" ref="BH74" si="59">ROUND(BH70+BH72,-2)</f>
        <v>5069400</v>
      </c>
      <c r="BI74" s="148">
        <f t="shared" si="58"/>
        <v>700800</v>
      </c>
      <c r="BJ74" s="148">
        <f t="shared" si="58"/>
        <v>633000</v>
      </c>
      <c r="BK74" s="148">
        <f t="shared" si="58"/>
        <v>1942600</v>
      </c>
      <c r="BL74" s="148">
        <f t="shared" si="58"/>
        <v>2197900</v>
      </c>
      <c r="BM74" s="148">
        <f t="shared" si="58"/>
        <v>0</v>
      </c>
      <c r="BN74" s="148">
        <f t="shared" si="58"/>
        <v>0</v>
      </c>
      <c r="BO74" s="148">
        <f t="shared" ref="BO74:BZ74" si="60">ROUND(BO70+BO72,-2)</f>
        <v>0</v>
      </c>
      <c r="BP74" s="148">
        <f t="shared" si="60"/>
        <v>0</v>
      </c>
      <c r="BQ74" s="148">
        <f t="shared" si="60"/>
        <v>898600</v>
      </c>
      <c r="BR74" s="148">
        <f t="shared" si="60"/>
        <v>0</v>
      </c>
      <c r="BS74" s="148">
        <f t="shared" si="60"/>
        <v>0</v>
      </c>
      <c r="BT74" s="148">
        <f t="shared" si="60"/>
        <v>739100</v>
      </c>
      <c r="BU74" s="148">
        <f t="shared" si="60"/>
        <v>548200</v>
      </c>
      <c r="BV74" s="148">
        <f t="shared" si="60"/>
        <v>583900</v>
      </c>
      <c r="BW74" s="148">
        <f t="shared" si="60"/>
        <v>0</v>
      </c>
      <c r="BX74" s="148">
        <f t="shared" si="60"/>
        <v>114400</v>
      </c>
      <c r="BY74" s="148">
        <f t="shared" si="60"/>
        <v>1834600</v>
      </c>
      <c r="BZ74" s="148">
        <f t="shared" si="60"/>
        <v>0</v>
      </c>
    </row>
    <row r="75" spans="1:80" x14ac:dyDescent="0.2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80" x14ac:dyDescent="0.2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80" x14ac:dyDescent="0.2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80" x14ac:dyDescent="0.2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80" x14ac:dyDescent="0.2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80" x14ac:dyDescent="0.2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3:78" x14ac:dyDescent="0.2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3:78" x14ac:dyDescent="0.2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3:78" x14ac:dyDescent="0.2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3:78" x14ac:dyDescent="0.2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3:78" x14ac:dyDescent="0.2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3:78" x14ac:dyDescent="0.2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3:78" x14ac:dyDescent="0.2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3:78" x14ac:dyDescent="0.2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3:78" x14ac:dyDescent="0.2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3:78" x14ac:dyDescent="0.2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3:78" x14ac:dyDescent="0.2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3:78" x14ac:dyDescent="0.2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3:78" x14ac:dyDescent="0.2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3:78" x14ac:dyDescent="0.2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3:78" x14ac:dyDescent="0.2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3:78" x14ac:dyDescent="0.2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3:78" x14ac:dyDescent="0.2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3:78" x14ac:dyDescent="0.2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3:78" x14ac:dyDescent="0.2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3:78" x14ac:dyDescent="0.2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3:78" x14ac:dyDescent="0.2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3:78" x14ac:dyDescent="0.2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</sheetData>
  <pageMargins left="0.7" right="0.7" top="0.78740157499999996" bottom="0.78740157499999996" header="0.3" footer="0.3"/>
  <pageSetup paperSize="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CB83"/>
  <sheetViews>
    <sheetView zoomScale="90" zoomScaleNormal="90" workbookViewId="0">
      <pane xSplit="3" ySplit="9" topLeftCell="D10" activePane="bottomRight" state="frozen"/>
      <selection activeCell="B7" sqref="B7:E7"/>
      <selection pane="topRight" activeCell="B7" sqref="B7:E7"/>
      <selection pane="bottomLeft" activeCell="B7" sqref="B7:E7"/>
      <selection pane="bottomRight" activeCell="B7" sqref="B7:E7"/>
    </sheetView>
  </sheetViews>
  <sheetFormatPr baseColWidth="10" defaultRowHeight="12.75" x14ac:dyDescent="0.2"/>
  <cols>
    <col min="1" max="1" width="4" style="3" customWidth="1"/>
    <col min="2" max="2" width="61" style="3" bestFit="1" customWidth="1"/>
    <col min="3" max="78" width="21" style="3" customWidth="1"/>
    <col min="79" max="79" width="2.140625" style="3" customWidth="1"/>
    <col min="80" max="80" width="20.7109375" style="3" bestFit="1" customWidth="1"/>
    <col min="81" max="16384" width="11.42578125" style="38"/>
  </cols>
  <sheetData>
    <row r="1" spans="1:80" x14ac:dyDescent="0.2">
      <c r="A1" s="82" t="s">
        <v>194</v>
      </c>
      <c r="B1"/>
      <c r="C1"/>
    </row>
    <row r="2" spans="1:80" x14ac:dyDescent="0.2">
      <c r="A2" t="s">
        <v>195</v>
      </c>
      <c r="B2"/>
      <c r="C2"/>
    </row>
    <row r="3" spans="1:80" x14ac:dyDescent="0.2">
      <c r="A3"/>
      <c r="B3"/>
      <c r="C3"/>
    </row>
    <row r="4" spans="1:80" x14ac:dyDescent="0.2">
      <c r="A4"/>
      <c r="B4"/>
      <c r="C4"/>
    </row>
    <row r="5" spans="1:80" ht="26.25" x14ac:dyDescent="0.4">
      <c r="A5" s="18" t="s">
        <v>366</v>
      </c>
      <c r="D5" s="38"/>
      <c r="E5" s="38"/>
      <c r="F5" s="38"/>
      <c r="G5" s="38"/>
      <c r="H5" s="38"/>
      <c r="I5" s="38"/>
    </row>
    <row r="6" spans="1:80" x14ac:dyDescent="0.2"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</row>
    <row r="7" spans="1:80" x14ac:dyDescent="0.2">
      <c r="B7" s="20" t="s">
        <v>105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</row>
    <row r="8" spans="1:80" s="32" customFormat="1" x14ac:dyDescent="0.2">
      <c r="A8" s="21"/>
      <c r="B8" s="21"/>
      <c r="C8" s="21" t="s">
        <v>79</v>
      </c>
      <c r="D8" s="21" t="s">
        <v>5</v>
      </c>
      <c r="E8" s="21" t="s">
        <v>6</v>
      </c>
      <c r="F8" s="21" t="s">
        <v>7</v>
      </c>
      <c r="G8" s="21" t="s">
        <v>8</v>
      </c>
      <c r="H8" s="21" t="s">
        <v>9</v>
      </c>
      <c r="I8" s="21" t="s">
        <v>10</v>
      </c>
      <c r="J8" s="21" t="s">
        <v>11</v>
      </c>
      <c r="K8" s="21" t="s">
        <v>12</v>
      </c>
      <c r="L8" s="21" t="s">
        <v>13</v>
      </c>
      <c r="M8" s="21" t="s">
        <v>14</v>
      </c>
      <c r="N8" s="21" t="s">
        <v>15</v>
      </c>
      <c r="O8" s="21" t="s">
        <v>16</v>
      </c>
      <c r="P8" s="21" t="s">
        <v>17</v>
      </c>
      <c r="Q8" s="21" t="s">
        <v>18</v>
      </c>
      <c r="R8" s="21" t="s">
        <v>19</v>
      </c>
      <c r="S8" s="21" t="s">
        <v>20</v>
      </c>
      <c r="T8" s="21" t="s">
        <v>21</v>
      </c>
      <c r="U8" s="21" t="s">
        <v>22</v>
      </c>
      <c r="V8" s="21" t="s">
        <v>23</v>
      </c>
      <c r="W8" s="21" t="s">
        <v>24</v>
      </c>
      <c r="X8" s="21" t="s">
        <v>25</v>
      </c>
      <c r="Y8" s="21" t="s">
        <v>26</v>
      </c>
      <c r="Z8" s="21" t="s">
        <v>27</v>
      </c>
      <c r="AA8" s="21" t="s">
        <v>28</v>
      </c>
      <c r="AB8" s="21" t="s">
        <v>29</v>
      </c>
      <c r="AC8" s="21" t="s">
        <v>30</v>
      </c>
      <c r="AD8" s="21" t="s">
        <v>31</v>
      </c>
      <c r="AE8" s="21" t="s">
        <v>32</v>
      </c>
      <c r="AF8" s="21" t="s">
        <v>33</v>
      </c>
      <c r="AG8" s="21" t="s">
        <v>34</v>
      </c>
      <c r="AH8" s="21" t="s">
        <v>35</v>
      </c>
      <c r="AI8" s="21" t="s">
        <v>36</v>
      </c>
      <c r="AJ8" s="21" t="s">
        <v>37</v>
      </c>
      <c r="AK8" s="21" t="s">
        <v>38</v>
      </c>
      <c r="AL8" s="21" t="s">
        <v>39</v>
      </c>
      <c r="AM8" s="21" t="s">
        <v>40</v>
      </c>
      <c r="AN8" s="21" t="s">
        <v>41</v>
      </c>
      <c r="AO8" s="21" t="s">
        <v>42</v>
      </c>
      <c r="AP8" s="21" t="s">
        <v>43</v>
      </c>
      <c r="AQ8" s="21" t="s">
        <v>44</v>
      </c>
      <c r="AR8" s="21" t="s">
        <v>45</v>
      </c>
      <c r="AS8" s="21" t="s">
        <v>46</v>
      </c>
      <c r="AT8" s="21" t="s">
        <v>47</v>
      </c>
      <c r="AU8" s="21" t="s">
        <v>48</v>
      </c>
      <c r="AV8" s="21" t="s">
        <v>49</v>
      </c>
      <c r="AW8" s="21" t="s">
        <v>50</v>
      </c>
      <c r="AX8" s="21" t="s">
        <v>51</v>
      </c>
      <c r="AY8" s="21" t="s">
        <v>52</v>
      </c>
      <c r="AZ8" s="21" t="s">
        <v>53</v>
      </c>
      <c r="BA8" s="21" t="s">
        <v>54</v>
      </c>
      <c r="BB8" s="21" t="s">
        <v>55</v>
      </c>
      <c r="BC8" s="21" t="s">
        <v>56</v>
      </c>
      <c r="BD8" s="21" t="s">
        <v>57</v>
      </c>
      <c r="BE8" s="21" t="s">
        <v>58</v>
      </c>
      <c r="BF8" s="21" t="s">
        <v>59</v>
      </c>
      <c r="BG8" s="21" t="s">
        <v>60</v>
      </c>
      <c r="BH8" s="183" t="s">
        <v>381</v>
      </c>
      <c r="BI8" s="21" t="s">
        <v>61</v>
      </c>
      <c r="BJ8" s="21" t="s">
        <v>62</v>
      </c>
      <c r="BK8" s="21" t="s">
        <v>63</v>
      </c>
      <c r="BL8" s="21" t="s">
        <v>64</v>
      </c>
      <c r="BM8" s="21" t="s">
        <v>65</v>
      </c>
      <c r="BN8" s="21" t="s">
        <v>66</v>
      </c>
      <c r="BO8" s="21" t="s">
        <v>67</v>
      </c>
      <c r="BP8" s="21" t="s">
        <v>68</v>
      </c>
      <c r="BQ8" s="21" t="s">
        <v>69</v>
      </c>
      <c r="BR8" s="21" t="s">
        <v>70</v>
      </c>
      <c r="BS8" s="21" t="s">
        <v>71</v>
      </c>
      <c r="BT8" s="21" t="s">
        <v>72</v>
      </c>
      <c r="BU8" s="21" t="s">
        <v>73</v>
      </c>
      <c r="BV8" s="21" t="s">
        <v>74</v>
      </c>
      <c r="BW8" s="21" t="s">
        <v>75</v>
      </c>
      <c r="BX8" s="21" t="s">
        <v>76</v>
      </c>
      <c r="BY8" s="21" t="s">
        <v>77</v>
      </c>
      <c r="BZ8" s="21" t="s">
        <v>78</v>
      </c>
      <c r="CA8" s="21"/>
      <c r="CB8" s="21" t="s">
        <v>106</v>
      </c>
    </row>
    <row r="10" spans="1:80" s="56" customFormat="1" ht="15.75" x14ac:dyDescent="0.25">
      <c r="A10" s="22" t="s">
        <v>97</v>
      </c>
      <c r="B10" s="23" t="s">
        <v>117</v>
      </c>
      <c r="C10" s="2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</row>
    <row r="11" spans="1:80" x14ac:dyDescent="0.2">
      <c r="B11" s="24"/>
      <c r="C11" s="24"/>
    </row>
    <row r="12" spans="1:80" x14ac:dyDescent="0.2">
      <c r="A12" s="38"/>
      <c r="B12" s="59" t="str">
        <f>'Ressourcenausgleich Basis'!B124</f>
        <v>Einwohnerzahl per 31.12.</v>
      </c>
      <c r="C12" s="60">
        <f>'Ressourcenausgleich Basis'!C124</f>
        <v>519245</v>
      </c>
      <c r="D12" s="60">
        <f>'Ressourcenausgleich Basis'!D124</f>
        <v>76328</v>
      </c>
      <c r="E12" s="60">
        <f>'Ressourcenausgleich Basis'!E124</f>
        <v>9847</v>
      </c>
      <c r="F12" s="60">
        <f>'Ressourcenausgleich Basis'!F124</f>
        <v>1376</v>
      </c>
      <c r="G12" s="60">
        <f>'Ressourcenausgleich Basis'!G124</f>
        <v>1242</v>
      </c>
      <c r="H12" s="60">
        <f>'Ressourcenausgleich Basis'!H124</f>
        <v>3638</v>
      </c>
      <c r="I12" s="60">
        <f>'Ressourcenausgleich Basis'!I124</f>
        <v>9521</v>
      </c>
      <c r="J12" s="60">
        <f>'Ressourcenausgleich Basis'!J124</f>
        <v>3559</v>
      </c>
      <c r="K12" s="60">
        <f>'Ressourcenausgleich Basis'!K124</f>
        <v>905</v>
      </c>
      <c r="L12" s="60">
        <f>'Ressourcenausgleich Basis'!L124</f>
        <v>1585</v>
      </c>
      <c r="M12" s="60">
        <f>'Ressourcenausgleich Basis'!M124</f>
        <v>1032</v>
      </c>
      <c r="N12" s="60">
        <f>'Ressourcenausgleich Basis'!N124</f>
        <v>2341</v>
      </c>
      <c r="O12" s="60">
        <f>'Ressourcenausgleich Basis'!O124</f>
        <v>7592</v>
      </c>
      <c r="P12" s="60">
        <f>'Ressourcenausgleich Basis'!P124</f>
        <v>9545</v>
      </c>
      <c r="Q12" s="60">
        <f>'Ressourcenausgleich Basis'!Q124</f>
        <v>6769</v>
      </c>
      <c r="R12" s="60">
        <f>'Ressourcenausgleich Basis'!R124</f>
        <v>3461</v>
      </c>
      <c r="S12" s="60">
        <f>'Ressourcenausgleich Basis'!S124</f>
        <v>6087</v>
      </c>
      <c r="T12" s="60">
        <f>'Ressourcenausgleich Basis'!T124</f>
        <v>8044</v>
      </c>
      <c r="U12" s="60">
        <f>'Ressourcenausgleich Basis'!U124</f>
        <v>3971</v>
      </c>
      <c r="V12" s="60">
        <f>'Ressourcenausgleich Basis'!V124</f>
        <v>4995</v>
      </c>
      <c r="W12" s="60">
        <f>'Ressourcenausgleich Basis'!W124</f>
        <v>6731</v>
      </c>
      <c r="X12" s="60">
        <f>'Ressourcenausgleich Basis'!X124</f>
        <v>10095</v>
      </c>
      <c r="Y12" s="60">
        <f>'Ressourcenausgleich Basis'!Y124</f>
        <v>4822</v>
      </c>
      <c r="Z12" s="60">
        <f>'Ressourcenausgleich Basis'!Z124</f>
        <v>2106</v>
      </c>
      <c r="AA12" s="60">
        <f>'Ressourcenausgleich Basis'!AA124</f>
        <v>12046</v>
      </c>
      <c r="AB12" s="60">
        <f>'Ressourcenausgleich Basis'!AB124</f>
        <v>1537</v>
      </c>
      <c r="AC12" s="60">
        <f>'Ressourcenausgleich Basis'!AC124</f>
        <v>9057</v>
      </c>
      <c r="AD12" s="60">
        <f>'Ressourcenausgleich Basis'!AD124</f>
        <v>2447</v>
      </c>
      <c r="AE12" s="60">
        <f>'Ressourcenausgleich Basis'!AE124</f>
        <v>5925</v>
      </c>
      <c r="AF12" s="60">
        <f>'Ressourcenausgleich Basis'!AF124</f>
        <v>3612</v>
      </c>
      <c r="AG12" s="60">
        <f>'Ressourcenausgleich Basis'!AG124</f>
        <v>7238</v>
      </c>
      <c r="AH12" s="60">
        <f>'Ressourcenausgleich Basis'!AH124</f>
        <v>13286</v>
      </c>
      <c r="AI12" s="60">
        <f>'Ressourcenausgleich Basis'!AI124</f>
        <v>5210</v>
      </c>
      <c r="AJ12" s="60">
        <f>'Ressourcenausgleich Basis'!AJ124</f>
        <v>5297</v>
      </c>
      <c r="AK12" s="60">
        <f>'Ressourcenausgleich Basis'!AK124</f>
        <v>6224</v>
      </c>
      <c r="AL12" s="60">
        <f>'Ressourcenausgleich Basis'!AL124</f>
        <v>4954</v>
      </c>
      <c r="AM12" s="60">
        <f>'Ressourcenausgleich Basis'!AM124</f>
        <v>6538</v>
      </c>
      <c r="AN12" s="60">
        <f>'Ressourcenausgleich Basis'!AN124</f>
        <v>1544</v>
      </c>
      <c r="AO12" s="60">
        <f>'Ressourcenausgleich Basis'!AO124</f>
        <v>8991</v>
      </c>
      <c r="AP12" s="60">
        <f>'Ressourcenausgleich Basis'!AP124</f>
        <v>5074</v>
      </c>
      <c r="AQ12" s="60">
        <f>'Ressourcenausgleich Basis'!AQ124</f>
        <v>5801</v>
      </c>
      <c r="AR12" s="60">
        <f>'Ressourcenausgleich Basis'!AR124</f>
        <v>3000</v>
      </c>
      <c r="AS12" s="60">
        <f>'Ressourcenausgleich Basis'!AS124</f>
        <v>1865</v>
      </c>
      <c r="AT12" s="60">
        <f>'Ressourcenausgleich Basis'!AT124</f>
        <v>1802</v>
      </c>
      <c r="AU12" s="60">
        <f>'Ressourcenausgleich Basis'!AU124</f>
        <v>3951</v>
      </c>
      <c r="AV12" s="60">
        <f>'Ressourcenausgleich Basis'!AV124</f>
        <v>3025</v>
      </c>
      <c r="AW12" s="60">
        <f>'Ressourcenausgleich Basis'!AW124</f>
        <v>5029</v>
      </c>
      <c r="AX12" s="60">
        <f>'Ressourcenausgleich Basis'!AX124</f>
        <v>5443</v>
      </c>
      <c r="AY12" s="60">
        <f>'Ressourcenausgleich Basis'!AY124</f>
        <v>6564</v>
      </c>
      <c r="AZ12" s="60">
        <f>'Ressourcenausgleich Basis'!AZ124</f>
        <v>4043</v>
      </c>
      <c r="BA12" s="60">
        <f>'Ressourcenausgleich Basis'!BA124</f>
        <v>27828</v>
      </c>
      <c r="BB12" s="60">
        <f>'Ressourcenausgleich Basis'!BB124</f>
        <v>9836</v>
      </c>
      <c r="BC12" s="60">
        <f>'Ressourcenausgleich Basis'!BC124</f>
        <v>2607</v>
      </c>
      <c r="BD12" s="60">
        <f>'Ressourcenausgleich Basis'!BD124</f>
        <v>3656</v>
      </c>
      <c r="BE12" s="60">
        <f>'Ressourcenausgleich Basis'!BE124</f>
        <v>5051</v>
      </c>
      <c r="BF12" s="60">
        <f>'Ressourcenausgleich Basis'!BF124</f>
        <v>8877</v>
      </c>
      <c r="BG12" s="60">
        <f>'Ressourcenausgleich Basis'!BG124</f>
        <v>1960</v>
      </c>
      <c r="BH12" s="60">
        <f>'Ressourcenausgleich Basis'!BH124</f>
        <v>6257</v>
      </c>
      <c r="BI12" s="60">
        <f>'Ressourcenausgleich Basis'!BI124</f>
        <v>5080</v>
      </c>
      <c r="BJ12" s="60">
        <f>'Ressourcenausgleich Basis'!BJ124</f>
        <v>1613</v>
      </c>
      <c r="BK12" s="60">
        <f>'Ressourcenausgleich Basis'!BK124</f>
        <v>2896</v>
      </c>
      <c r="BL12" s="60">
        <f>'Ressourcenausgleich Basis'!BL124</f>
        <v>9414</v>
      </c>
      <c r="BM12" s="60">
        <f>'Ressourcenausgleich Basis'!BM124</f>
        <v>3920</v>
      </c>
      <c r="BN12" s="60">
        <f>'Ressourcenausgleich Basis'!BN124</f>
        <v>6574</v>
      </c>
      <c r="BO12" s="60">
        <f>'Ressourcenausgleich Basis'!BO124</f>
        <v>13493</v>
      </c>
      <c r="BP12" s="60">
        <f>'Ressourcenausgleich Basis'!BP124</f>
        <v>10444</v>
      </c>
      <c r="BQ12" s="60">
        <f>'Ressourcenausgleich Basis'!BQ124</f>
        <v>4113</v>
      </c>
      <c r="BR12" s="60">
        <f>'Ressourcenausgleich Basis'!BR124</f>
        <v>24306</v>
      </c>
      <c r="BS12" s="60">
        <f>'Ressourcenausgleich Basis'!BS124</f>
        <v>4848</v>
      </c>
      <c r="BT12" s="60">
        <f>'Ressourcenausgleich Basis'!BT124</f>
        <v>4538</v>
      </c>
      <c r="BU12" s="60">
        <f>'Ressourcenausgleich Basis'!BU124</f>
        <v>1517</v>
      </c>
      <c r="BV12" s="60">
        <f>'Ressourcenausgleich Basis'!BV124</f>
        <v>3182</v>
      </c>
      <c r="BW12" s="60">
        <f>'Ressourcenausgleich Basis'!BW124</f>
        <v>18017</v>
      </c>
      <c r="BX12" s="60">
        <f>'Ressourcenausgleich Basis'!BX124</f>
        <v>2087</v>
      </c>
      <c r="BY12" s="60">
        <f>'Ressourcenausgleich Basis'!BY124</f>
        <v>3569</v>
      </c>
      <c r="BZ12" s="60">
        <f>'Ressourcenausgleich Basis'!BZ124</f>
        <v>8467</v>
      </c>
      <c r="CA12" s="38"/>
      <c r="CB12" s="38"/>
    </row>
    <row r="13" spans="1:80" s="32" customFormat="1" x14ac:dyDescent="0.2">
      <c r="A13" s="30"/>
      <c r="B13" s="31"/>
    </row>
    <row r="14" spans="1:80" x14ac:dyDescent="0.2">
      <c r="A14" s="38"/>
      <c r="B14" s="30" t="s">
        <v>367</v>
      </c>
      <c r="C14" s="51">
        <f>SUM(D14:BZ14)</f>
        <v>57786</v>
      </c>
      <c r="D14" s="49">
        <v>7199</v>
      </c>
      <c r="E14" s="49">
        <v>1087</v>
      </c>
      <c r="F14" s="49">
        <v>201</v>
      </c>
      <c r="G14" s="49">
        <v>151</v>
      </c>
      <c r="H14" s="49">
        <v>435</v>
      </c>
      <c r="I14" s="49">
        <v>1018</v>
      </c>
      <c r="J14" s="49">
        <v>397</v>
      </c>
      <c r="K14" s="49">
        <v>106</v>
      </c>
      <c r="L14" s="49">
        <v>222</v>
      </c>
      <c r="M14" s="49">
        <v>142</v>
      </c>
      <c r="N14" s="49">
        <v>312</v>
      </c>
      <c r="O14" s="49">
        <v>704</v>
      </c>
      <c r="P14" s="49">
        <v>927</v>
      </c>
      <c r="Q14" s="49">
        <v>712</v>
      </c>
      <c r="R14" s="49">
        <v>298</v>
      </c>
      <c r="S14" s="49">
        <v>668</v>
      </c>
      <c r="T14" s="49">
        <v>842</v>
      </c>
      <c r="U14" s="49">
        <v>460</v>
      </c>
      <c r="V14" s="49">
        <v>523</v>
      </c>
      <c r="W14" s="49">
        <v>767</v>
      </c>
      <c r="X14" s="49">
        <v>1153</v>
      </c>
      <c r="Y14" s="49">
        <v>489</v>
      </c>
      <c r="Z14" s="184">
        <v>237</v>
      </c>
      <c r="AA14" s="49">
        <v>1289</v>
      </c>
      <c r="AB14" s="49">
        <v>194</v>
      </c>
      <c r="AC14" s="49">
        <v>1102</v>
      </c>
      <c r="AD14" s="49">
        <v>319</v>
      </c>
      <c r="AE14" s="49">
        <v>588</v>
      </c>
      <c r="AF14" s="49">
        <v>452</v>
      </c>
      <c r="AG14" s="49">
        <v>879</v>
      </c>
      <c r="AH14" s="49">
        <v>1470</v>
      </c>
      <c r="AI14" s="49">
        <v>627</v>
      </c>
      <c r="AJ14" s="49">
        <v>666</v>
      </c>
      <c r="AK14" s="49">
        <v>729</v>
      </c>
      <c r="AL14" s="49">
        <v>574</v>
      </c>
      <c r="AM14" s="49">
        <v>640</v>
      </c>
      <c r="AN14" s="49">
        <v>178</v>
      </c>
      <c r="AO14" s="49">
        <v>1093</v>
      </c>
      <c r="AP14" s="49">
        <v>610</v>
      </c>
      <c r="AQ14" s="49">
        <v>689</v>
      </c>
      <c r="AR14" s="49">
        <v>291</v>
      </c>
      <c r="AS14" s="49">
        <v>183</v>
      </c>
      <c r="AT14" s="49">
        <v>174</v>
      </c>
      <c r="AU14" s="49">
        <v>525</v>
      </c>
      <c r="AV14" s="49">
        <v>405</v>
      </c>
      <c r="AW14" s="49">
        <v>595</v>
      </c>
      <c r="AX14" s="49">
        <v>571</v>
      </c>
      <c r="AY14" s="49">
        <v>779</v>
      </c>
      <c r="AZ14" s="49">
        <v>439</v>
      </c>
      <c r="BA14" s="49">
        <v>2800</v>
      </c>
      <c r="BB14" s="49">
        <v>1196</v>
      </c>
      <c r="BC14" s="49">
        <v>324</v>
      </c>
      <c r="BD14" s="49">
        <v>395</v>
      </c>
      <c r="BE14" s="49">
        <v>571</v>
      </c>
      <c r="BF14" s="49">
        <v>965</v>
      </c>
      <c r="BG14" s="49">
        <v>201</v>
      </c>
      <c r="BH14" s="49">
        <v>807</v>
      </c>
      <c r="BI14" s="49">
        <v>609</v>
      </c>
      <c r="BJ14" s="49">
        <v>226</v>
      </c>
      <c r="BK14" s="49">
        <v>429</v>
      </c>
      <c r="BL14" s="49">
        <v>1248</v>
      </c>
      <c r="BM14" s="49">
        <v>530</v>
      </c>
      <c r="BN14" s="49">
        <v>796</v>
      </c>
      <c r="BO14" s="49">
        <v>1641</v>
      </c>
      <c r="BP14" s="49">
        <v>1278</v>
      </c>
      <c r="BQ14" s="49">
        <v>551</v>
      </c>
      <c r="BR14" s="49">
        <v>2552</v>
      </c>
      <c r="BS14" s="49">
        <v>564</v>
      </c>
      <c r="BT14" s="49">
        <v>557</v>
      </c>
      <c r="BU14" s="49">
        <v>218</v>
      </c>
      <c r="BV14" s="49">
        <v>466</v>
      </c>
      <c r="BW14" s="49">
        <v>1949</v>
      </c>
      <c r="BX14" s="49">
        <v>288</v>
      </c>
      <c r="BY14" s="49">
        <v>528</v>
      </c>
      <c r="BZ14" s="49">
        <v>986</v>
      </c>
      <c r="CA14" s="38"/>
      <c r="CB14" s="38" t="s">
        <v>120</v>
      </c>
    </row>
    <row r="15" spans="1:80" x14ac:dyDescent="0.2">
      <c r="A15" s="38"/>
      <c r="B15" s="30" t="s">
        <v>368</v>
      </c>
      <c r="C15" s="51">
        <f>SUM(D15:BZ15)</f>
        <v>1519</v>
      </c>
      <c r="D15" s="49">
        <v>226</v>
      </c>
      <c r="E15" s="49">
        <v>38</v>
      </c>
      <c r="F15" s="49">
        <v>2</v>
      </c>
      <c r="G15" s="49">
        <v>3</v>
      </c>
      <c r="H15" s="49">
        <v>10</v>
      </c>
      <c r="I15" s="49">
        <v>37</v>
      </c>
      <c r="J15" s="49">
        <v>6</v>
      </c>
      <c r="K15" s="49">
        <v>0</v>
      </c>
      <c r="L15" s="49">
        <v>1</v>
      </c>
      <c r="M15" s="49">
        <v>3</v>
      </c>
      <c r="N15" s="49">
        <v>13</v>
      </c>
      <c r="O15" s="49">
        <v>26</v>
      </c>
      <c r="P15" s="49">
        <v>43</v>
      </c>
      <c r="Q15" s="49">
        <v>15</v>
      </c>
      <c r="R15" s="49">
        <v>10</v>
      </c>
      <c r="S15" s="49">
        <v>13</v>
      </c>
      <c r="T15" s="49">
        <v>22</v>
      </c>
      <c r="U15" s="49">
        <v>11</v>
      </c>
      <c r="V15" s="49">
        <v>13</v>
      </c>
      <c r="W15" s="49">
        <v>15</v>
      </c>
      <c r="X15" s="49">
        <v>35</v>
      </c>
      <c r="Y15" s="49">
        <v>20</v>
      </c>
      <c r="Z15" s="49">
        <v>3</v>
      </c>
      <c r="AA15" s="49">
        <v>35</v>
      </c>
      <c r="AB15" s="49">
        <v>4</v>
      </c>
      <c r="AC15" s="49">
        <v>26</v>
      </c>
      <c r="AD15" s="49">
        <v>4</v>
      </c>
      <c r="AE15" s="49">
        <v>12</v>
      </c>
      <c r="AF15" s="49">
        <v>9</v>
      </c>
      <c r="AG15" s="49">
        <v>23</v>
      </c>
      <c r="AH15" s="49">
        <v>36</v>
      </c>
      <c r="AI15" s="49">
        <v>15</v>
      </c>
      <c r="AJ15" s="49">
        <v>7</v>
      </c>
      <c r="AK15" s="49">
        <v>20</v>
      </c>
      <c r="AL15" s="49">
        <v>14</v>
      </c>
      <c r="AM15" s="49">
        <v>11</v>
      </c>
      <c r="AN15" s="49">
        <v>1</v>
      </c>
      <c r="AO15" s="49">
        <v>23</v>
      </c>
      <c r="AP15" s="49">
        <v>17</v>
      </c>
      <c r="AQ15" s="49">
        <v>13</v>
      </c>
      <c r="AR15" s="49">
        <v>5</v>
      </c>
      <c r="AS15" s="49">
        <v>2</v>
      </c>
      <c r="AT15" s="49">
        <v>2</v>
      </c>
      <c r="AU15" s="49">
        <v>16</v>
      </c>
      <c r="AV15" s="49">
        <v>14</v>
      </c>
      <c r="AW15" s="49">
        <v>16</v>
      </c>
      <c r="AX15" s="49">
        <v>8</v>
      </c>
      <c r="AY15" s="49">
        <v>27</v>
      </c>
      <c r="AZ15" s="49">
        <v>14</v>
      </c>
      <c r="BA15" s="49">
        <v>59</v>
      </c>
      <c r="BB15" s="49">
        <v>22</v>
      </c>
      <c r="BC15" s="49">
        <v>2</v>
      </c>
      <c r="BD15" s="49">
        <v>14</v>
      </c>
      <c r="BE15" s="49">
        <v>27</v>
      </c>
      <c r="BF15" s="49">
        <v>38</v>
      </c>
      <c r="BG15" s="49">
        <v>6</v>
      </c>
      <c r="BH15" s="49">
        <v>22</v>
      </c>
      <c r="BI15" s="49">
        <v>8</v>
      </c>
      <c r="BJ15" s="49">
        <v>9</v>
      </c>
      <c r="BK15" s="49">
        <v>6</v>
      </c>
      <c r="BL15" s="49">
        <v>37</v>
      </c>
      <c r="BM15" s="49">
        <v>3</v>
      </c>
      <c r="BN15" s="49">
        <v>30</v>
      </c>
      <c r="BO15" s="49">
        <v>51</v>
      </c>
      <c r="BP15" s="49">
        <v>47</v>
      </c>
      <c r="BQ15" s="49">
        <v>13</v>
      </c>
      <c r="BR15" s="49">
        <v>78</v>
      </c>
      <c r="BS15" s="49">
        <v>12</v>
      </c>
      <c r="BT15" s="49">
        <v>12</v>
      </c>
      <c r="BU15" s="49">
        <v>4</v>
      </c>
      <c r="BV15" s="49">
        <v>4</v>
      </c>
      <c r="BW15" s="49">
        <v>39</v>
      </c>
      <c r="BX15" s="49">
        <v>3</v>
      </c>
      <c r="BY15" s="49">
        <v>4</v>
      </c>
      <c r="BZ15" s="49">
        <v>30</v>
      </c>
      <c r="CA15" s="38"/>
      <c r="CB15" s="38" t="s">
        <v>120</v>
      </c>
    </row>
    <row r="16" spans="1:80" x14ac:dyDescent="0.2">
      <c r="A16" s="38"/>
      <c r="B16" s="30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38"/>
      <c r="CB16" s="38"/>
    </row>
    <row r="17" spans="1:80" x14ac:dyDescent="0.2">
      <c r="A17" s="38"/>
      <c r="B17" s="30" t="s">
        <v>242</v>
      </c>
      <c r="C17" s="5">
        <f>SUM(D17:BZ17)</f>
        <v>5723593.3200000003</v>
      </c>
      <c r="D17" s="12">
        <v>0</v>
      </c>
      <c r="E17" s="12">
        <v>18484.349999999999</v>
      </c>
      <c r="F17" s="12">
        <v>44269.75</v>
      </c>
      <c r="G17" s="12">
        <v>26017.35</v>
      </c>
      <c r="H17" s="12">
        <v>0</v>
      </c>
      <c r="I17" s="12">
        <v>173805.4</v>
      </c>
      <c r="J17" s="12">
        <v>85338.55</v>
      </c>
      <c r="K17" s="12">
        <v>61162.400000000001</v>
      </c>
      <c r="L17" s="12">
        <v>25186</v>
      </c>
      <c r="M17" s="12">
        <v>44946.76</v>
      </c>
      <c r="N17" s="12">
        <v>73569.7</v>
      </c>
      <c r="O17" s="12">
        <v>256139.4</v>
      </c>
      <c r="P17" s="12">
        <v>218409.25</v>
      </c>
      <c r="Q17" s="12">
        <v>66126.83</v>
      </c>
      <c r="R17" s="12">
        <v>91678.399999999994</v>
      </c>
      <c r="S17" s="12">
        <v>151581.5</v>
      </c>
      <c r="T17" s="12">
        <v>0</v>
      </c>
      <c r="U17" s="12">
        <v>0</v>
      </c>
      <c r="V17" s="12">
        <v>0</v>
      </c>
      <c r="W17" s="12">
        <v>186983.1</v>
      </c>
      <c r="X17" s="12">
        <v>284048.36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19895.849999999999</v>
      </c>
      <c r="AE17" s="12">
        <v>151017.95000000001</v>
      </c>
      <c r="AF17" s="12">
        <v>127246.25</v>
      </c>
      <c r="AG17" s="12">
        <v>63318.78</v>
      </c>
      <c r="AH17" s="12">
        <v>112740.3</v>
      </c>
      <c r="AI17" s="12">
        <v>161918.20000000001</v>
      </c>
      <c r="AJ17" s="12">
        <v>115241.55</v>
      </c>
      <c r="AK17" s="12">
        <v>112531.4</v>
      </c>
      <c r="AL17" s="12">
        <v>116994</v>
      </c>
      <c r="AM17" s="12">
        <v>147418.85</v>
      </c>
      <c r="AN17" s="12">
        <v>40833.35</v>
      </c>
      <c r="AO17" s="12">
        <v>141562.91</v>
      </c>
      <c r="AP17" s="12">
        <v>151267.29999999999</v>
      </c>
      <c r="AQ17" s="12">
        <v>0</v>
      </c>
      <c r="AR17" s="12">
        <v>124930.15</v>
      </c>
      <c r="AS17" s="12">
        <v>0</v>
      </c>
      <c r="AT17" s="12">
        <v>0</v>
      </c>
      <c r="AU17" s="12">
        <v>0</v>
      </c>
      <c r="AV17" s="12">
        <v>22513.75</v>
      </c>
      <c r="AW17" s="12">
        <v>8064.15</v>
      </c>
      <c r="AX17" s="12">
        <v>0</v>
      </c>
      <c r="AY17" s="12">
        <v>0</v>
      </c>
      <c r="AZ17" s="12">
        <v>0</v>
      </c>
      <c r="BA17" s="12">
        <v>94877.85</v>
      </c>
      <c r="BB17" s="12">
        <v>47102.55</v>
      </c>
      <c r="BC17" s="12">
        <v>43760.25</v>
      </c>
      <c r="BD17" s="12">
        <v>26690.04</v>
      </c>
      <c r="BE17" s="12">
        <v>136088.95000000001</v>
      </c>
      <c r="BF17" s="12">
        <v>0</v>
      </c>
      <c r="BG17" s="12">
        <v>59098.7</v>
      </c>
      <c r="BH17" s="12">
        <v>0</v>
      </c>
      <c r="BI17" s="12">
        <v>139235.20000000001</v>
      </c>
      <c r="BJ17" s="12">
        <v>0</v>
      </c>
      <c r="BK17" s="12">
        <v>140438.15</v>
      </c>
      <c r="BL17" s="12">
        <v>160164.4</v>
      </c>
      <c r="BM17" s="12">
        <v>101852.05</v>
      </c>
      <c r="BN17" s="12">
        <v>79568.75</v>
      </c>
      <c r="BO17" s="12">
        <v>52688.15</v>
      </c>
      <c r="BP17" s="12">
        <v>262033.55</v>
      </c>
      <c r="BQ17" s="12">
        <v>89552.66</v>
      </c>
      <c r="BR17" s="12">
        <v>38266.050000000003</v>
      </c>
      <c r="BS17" s="12">
        <v>94202.35</v>
      </c>
      <c r="BT17" s="12">
        <v>0</v>
      </c>
      <c r="BU17" s="12">
        <v>0</v>
      </c>
      <c r="BV17" s="12">
        <v>40781.65</v>
      </c>
      <c r="BW17" s="12">
        <v>287456</v>
      </c>
      <c r="BX17" s="12">
        <v>0</v>
      </c>
      <c r="BY17" s="12">
        <v>168410.38</v>
      </c>
      <c r="BZ17" s="12">
        <v>236083.8</v>
      </c>
      <c r="CA17" s="38"/>
      <c r="CB17" s="38" t="s">
        <v>119</v>
      </c>
    </row>
    <row r="18" spans="1:80" x14ac:dyDescent="0.2">
      <c r="A18" s="38"/>
      <c r="B18" s="30" t="s">
        <v>241</v>
      </c>
      <c r="C18" s="5">
        <f>SUM(D18:BZ18)</f>
        <v>1091346067.78</v>
      </c>
      <c r="D18" s="12">
        <v>137908782.63999999</v>
      </c>
      <c r="E18" s="12">
        <v>21004078.620000001</v>
      </c>
      <c r="F18" s="12">
        <v>3691083.64</v>
      </c>
      <c r="G18" s="12">
        <v>3127688.39</v>
      </c>
      <c r="H18" s="12">
        <v>8713448.8200000003</v>
      </c>
      <c r="I18" s="12">
        <v>18101594.039999999</v>
      </c>
      <c r="J18" s="12">
        <v>7383746.0999999996</v>
      </c>
      <c r="K18" s="12">
        <v>2477221.9700000002</v>
      </c>
      <c r="L18" s="12">
        <v>3190159.76</v>
      </c>
      <c r="M18" s="12">
        <v>2752334.6</v>
      </c>
      <c r="N18" s="12">
        <v>5632962.2199999997</v>
      </c>
      <c r="O18" s="12">
        <v>13968376.23</v>
      </c>
      <c r="P18" s="12">
        <v>19744088.84</v>
      </c>
      <c r="Q18" s="12">
        <v>13414030.720000001</v>
      </c>
      <c r="R18" s="12">
        <v>6069805.1299999999</v>
      </c>
      <c r="S18" s="12">
        <v>11651563.52</v>
      </c>
      <c r="T18" s="12">
        <v>16444778.91</v>
      </c>
      <c r="U18" s="12">
        <v>8033051.5</v>
      </c>
      <c r="V18" s="12">
        <v>9099768.7799999993</v>
      </c>
      <c r="W18" s="12">
        <v>13667269.470000001</v>
      </c>
      <c r="X18" s="12">
        <v>18275055.350000001</v>
      </c>
      <c r="Y18" s="12">
        <v>9842853.4600000009</v>
      </c>
      <c r="Z18" s="12">
        <v>4605030.01</v>
      </c>
      <c r="AA18" s="12">
        <v>25280218.329999998</v>
      </c>
      <c r="AB18" s="12">
        <v>3688667.3</v>
      </c>
      <c r="AC18" s="12">
        <v>21278491.449999999</v>
      </c>
      <c r="AD18" s="12">
        <v>5726392.4000000004</v>
      </c>
      <c r="AE18" s="12">
        <v>10923851.859999999</v>
      </c>
      <c r="AF18" s="12">
        <v>7920739.1699999999</v>
      </c>
      <c r="AG18" s="12">
        <v>16266968.91</v>
      </c>
      <c r="AH18" s="12">
        <v>27759304.760000002</v>
      </c>
      <c r="AI18" s="12">
        <v>11107702.470000001</v>
      </c>
      <c r="AJ18" s="12">
        <v>12461533.42</v>
      </c>
      <c r="AK18" s="12">
        <v>12851414.779999999</v>
      </c>
      <c r="AL18" s="12">
        <v>11515898.5</v>
      </c>
      <c r="AM18" s="12">
        <v>11724220.609999999</v>
      </c>
      <c r="AN18" s="12">
        <v>4822321.29</v>
      </c>
      <c r="AO18" s="12">
        <v>19224713.260000002</v>
      </c>
      <c r="AP18" s="12">
        <v>9984304.3300000001</v>
      </c>
      <c r="AQ18" s="12">
        <v>11299893.279999999</v>
      </c>
      <c r="AR18" s="12">
        <v>5260217.71</v>
      </c>
      <c r="AS18" s="12">
        <v>3710729.82</v>
      </c>
      <c r="AT18" s="12">
        <v>3486683.57</v>
      </c>
      <c r="AU18" s="12">
        <v>8127980.2400000002</v>
      </c>
      <c r="AV18" s="12">
        <v>7402527.9800000004</v>
      </c>
      <c r="AW18" s="12">
        <v>10486419.9</v>
      </c>
      <c r="AX18" s="12">
        <v>12122700.5</v>
      </c>
      <c r="AY18" s="12">
        <v>14631571.029999999</v>
      </c>
      <c r="AZ18" s="12">
        <v>9169650.6699999999</v>
      </c>
      <c r="BA18" s="12">
        <v>56537794.329999998</v>
      </c>
      <c r="BB18" s="12">
        <v>21812482.18</v>
      </c>
      <c r="BC18" s="12">
        <v>6007889.5300000003</v>
      </c>
      <c r="BD18" s="12">
        <v>7577584.3700000001</v>
      </c>
      <c r="BE18" s="12">
        <v>11372074.85</v>
      </c>
      <c r="BF18" s="12">
        <v>16977821.760000002</v>
      </c>
      <c r="BG18" s="12">
        <v>3704991.16</v>
      </c>
      <c r="BH18" s="12">
        <v>15942037.68</v>
      </c>
      <c r="BI18" s="12">
        <v>11545863.84</v>
      </c>
      <c r="BJ18" s="12">
        <v>4513088.53</v>
      </c>
      <c r="BK18" s="12">
        <v>8112493.9900000002</v>
      </c>
      <c r="BL18" s="12">
        <v>24758734.84</v>
      </c>
      <c r="BM18" s="12">
        <v>10402130.939999999</v>
      </c>
      <c r="BN18" s="12">
        <v>15673843.529999999</v>
      </c>
      <c r="BO18" s="12">
        <v>28403629.199999999</v>
      </c>
      <c r="BP18" s="12">
        <v>23215808.16</v>
      </c>
      <c r="BQ18" s="12">
        <v>9059409.4700000007</v>
      </c>
      <c r="BR18" s="12">
        <v>51360859.670000002</v>
      </c>
      <c r="BS18" s="12">
        <v>10636306.029999999</v>
      </c>
      <c r="BT18" s="12">
        <v>11680280.189999999</v>
      </c>
      <c r="BU18" s="12">
        <v>4184090.1</v>
      </c>
      <c r="BV18" s="12">
        <v>8148078.9299999997</v>
      </c>
      <c r="BW18" s="12">
        <v>37428163.909999996</v>
      </c>
      <c r="BX18" s="12">
        <v>5333810.99</v>
      </c>
      <c r="BY18" s="12">
        <v>9840781.2200000007</v>
      </c>
      <c r="BZ18" s="12">
        <v>20082128.120000001</v>
      </c>
      <c r="CA18" s="38"/>
      <c r="CB18" s="38" t="s">
        <v>119</v>
      </c>
    </row>
    <row r="19" spans="1:80" x14ac:dyDescent="0.2">
      <c r="A19" s="38"/>
      <c r="B19" s="30" t="s">
        <v>243</v>
      </c>
      <c r="C19" s="5">
        <f>SUM(D19:BZ19)</f>
        <v>2857576.1599999992</v>
      </c>
      <c r="D19" s="12">
        <v>664128.81000000006</v>
      </c>
      <c r="E19" s="12">
        <v>31172</v>
      </c>
      <c r="F19" s="12">
        <v>8791.35</v>
      </c>
      <c r="G19" s="12">
        <v>5679.4</v>
      </c>
      <c r="H19" s="12">
        <v>0</v>
      </c>
      <c r="I19" s="12">
        <v>67794.399999999994</v>
      </c>
      <c r="J19" s="12">
        <v>13877.65</v>
      </c>
      <c r="K19" s="12">
        <v>1898.7</v>
      </c>
      <c r="L19" s="12">
        <v>9343.15</v>
      </c>
      <c r="M19" s="12">
        <v>6167.86</v>
      </c>
      <c r="N19" s="12">
        <v>11525.4</v>
      </c>
      <c r="O19" s="12">
        <v>32163.95</v>
      </c>
      <c r="P19" s="12">
        <v>33192.800000000003</v>
      </c>
      <c r="Q19" s="12">
        <v>41500.32</v>
      </c>
      <c r="R19" s="12">
        <v>13614.7</v>
      </c>
      <c r="S19" s="12">
        <v>38262.449999999997</v>
      </c>
      <c r="T19" s="12">
        <v>0</v>
      </c>
      <c r="U19" s="12">
        <v>21702.7</v>
      </c>
      <c r="V19" s="12">
        <v>0</v>
      </c>
      <c r="W19" s="12">
        <v>37138.35</v>
      </c>
      <c r="X19" s="12">
        <v>42574.15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8976.9</v>
      </c>
      <c r="AE19" s="12">
        <v>32221.75</v>
      </c>
      <c r="AF19" s="12">
        <v>26844.65</v>
      </c>
      <c r="AG19" s="12">
        <v>53183.040000000001</v>
      </c>
      <c r="AH19" s="12">
        <v>80522.2</v>
      </c>
      <c r="AI19" s="12">
        <v>25215.9</v>
      </c>
      <c r="AJ19" s="12">
        <v>33663.9</v>
      </c>
      <c r="AK19" s="12">
        <v>27081</v>
      </c>
      <c r="AL19" s="12">
        <v>18351.61</v>
      </c>
      <c r="AM19" s="12">
        <v>49127.55</v>
      </c>
      <c r="AN19" s="12">
        <v>6739.3</v>
      </c>
      <c r="AO19" s="12">
        <v>26660.7</v>
      </c>
      <c r="AP19" s="12">
        <v>30736.15</v>
      </c>
      <c r="AQ19" s="12">
        <v>46509.45</v>
      </c>
      <c r="AR19" s="12">
        <v>19070.400000000001</v>
      </c>
      <c r="AS19" s="12">
        <v>0</v>
      </c>
      <c r="AT19" s="12">
        <v>0</v>
      </c>
      <c r="AU19" s="12">
        <v>30845.200000000001</v>
      </c>
      <c r="AV19" s="12">
        <v>17648.55</v>
      </c>
      <c r="AW19" s="12">
        <v>33589.1</v>
      </c>
      <c r="AX19" s="12">
        <v>23985.200000000001</v>
      </c>
      <c r="AY19" s="12">
        <v>43930.1</v>
      </c>
      <c r="AZ19" s="12">
        <v>31046.400000000001</v>
      </c>
      <c r="BA19" s="12">
        <v>192792.05</v>
      </c>
      <c r="BB19" s="12">
        <v>78531.5</v>
      </c>
      <c r="BC19" s="12">
        <v>17431.349999999999</v>
      </c>
      <c r="BD19" s="12">
        <v>32748.799999999999</v>
      </c>
      <c r="BE19" s="12">
        <v>28407.08</v>
      </c>
      <c r="BF19" s="12">
        <v>0</v>
      </c>
      <c r="BG19" s="12">
        <v>6922.5</v>
      </c>
      <c r="BH19" s="12">
        <v>0</v>
      </c>
      <c r="BI19" s="12">
        <v>21734.65</v>
      </c>
      <c r="BJ19" s="12">
        <v>0</v>
      </c>
      <c r="BK19" s="12">
        <v>24364.45</v>
      </c>
      <c r="BL19" s="12">
        <v>63603.55</v>
      </c>
      <c r="BM19" s="12">
        <v>36174.050000000003</v>
      </c>
      <c r="BN19" s="12">
        <v>20946.849999999999</v>
      </c>
      <c r="BO19" s="12">
        <v>52153.59</v>
      </c>
      <c r="BP19" s="12">
        <v>49868.5</v>
      </c>
      <c r="BQ19" s="12">
        <v>12413.65</v>
      </c>
      <c r="BR19" s="12">
        <v>265514.65000000002</v>
      </c>
      <c r="BS19" s="12">
        <v>21272.3</v>
      </c>
      <c r="BT19" s="12">
        <v>0</v>
      </c>
      <c r="BU19" s="12">
        <v>0</v>
      </c>
      <c r="BV19" s="12">
        <v>18238.7</v>
      </c>
      <c r="BW19" s="12">
        <v>86143.65</v>
      </c>
      <c r="BX19" s="12">
        <v>0</v>
      </c>
      <c r="BY19" s="12">
        <v>20654.599999999999</v>
      </c>
      <c r="BZ19" s="12">
        <v>61182.5</v>
      </c>
      <c r="CA19" s="38"/>
      <c r="CB19" s="38" t="s">
        <v>119</v>
      </c>
    </row>
    <row r="20" spans="1:80" x14ac:dyDescent="0.2">
      <c r="A20" s="38"/>
      <c r="B20" s="30" t="s">
        <v>79</v>
      </c>
      <c r="C20" s="5">
        <f t="shared" ref="C20:AH20" si="0">SUM(C17:C19)</f>
        <v>1099927237.26</v>
      </c>
      <c r="D20" s="5">
        <f t="shared" si="0"/>
        <v>138572911.44999999</v>
      </c>
      <c r="E20" s="5">
        <f t="shared" si="0"/>
        <v>21053734.970000003</v>
      </c>
      <c r="F20" s="5">
        <f t="shared" si="0"/>
        <v>3744144.74</v>
      </c>
      <c r="G20" s="5">
        <f t="shared" si="0"/>
        <v>3159385.14</v>
      </c>
      <c r="H20" s="5">
        <f t="shared" si="0"/>
        <v>8713448.8200000003</v>
      </c>
      <c r="I20" s="5">
        <f t="shared" si="0"/>
        <v>18343193.839999996</v>
      </c>
      <c r="J20" s="5">
        <f t="shared" si="0"/>
        <v>7482962.2999999998</v>
      </c>
      <c r="K20" s="5">
        <f t="shared" si="0"/>
        <v>2540283.0700000003</v>
      </c>
      <c r="L20" s="5">
        <f t="shared" si="0"/>
        <v>3224688.9099999997</v>
      </c>
      <c r="M20" s="5">
        <f t="shared" si="0"/>
        <v>2803449.2199999997</v>
      </c>
      <c r="N20" s="5">
        <f t="shared" si="0"/>
        <v>5718057.3200000003</v>
      </c>
      <c r="O20" s="5">
        <f t="shared" si="0"/>
        <v>14256679.58</v>
      </c>
      <c r="P20" s="5">
        <f t="shared" si="0"/>
        <v>19995690.890000001</v>
      </c>
      <c r="Q20" s="5">
        <f t="shared" si="0"/>
        <v>13521657.870000001</v>
      </c>
      <c r="R20" s="5">
        <f t="shared" si="0"/>
        <v>6175098.2300000004</v>
      </c>
      <c r="S20" s="5">
        <f t="shared" si="0"/>
        <v>11841407.469999999</v>
      </c>
      <c r="T20" s="5">
        <f t="shared" si="0"/>
        <v>16444778.91</v>
      </c>
      <c r="U20" s="5">
        <f t="shared" si="0"/>
        <v>8054754.2000000002</v>
      </c>
      <c r="V20" s="5">
        <f t="shared" si="0"/>
        <v>9099768.7799999993</v>
      </c>
      <c r="W20" s="5">
        <f t="shared" si="0"/>
        <v>13891390.92</v>
      </c>
      <c r="X20" s="5">
        <f t="shared" si="0"/>
        <v>18601677.859999999</v>
      </c>
      <c r="Y20" s="5">
        <f t="shared" si="0"/>
        <v>9842853.4600000009</v>
      </c>
      <c r="Z20" s="5">
        <f t="shared" si="0"/>
        <v>4605030.01</v>
      </c>
      <c r="AA20" s="5">
        <f t="shared" si="0"/>
        <v>25280218.329999998</v>
      </c>
      <c r="AB20" s="5">
        <f t="shared" si="0"/>
        <v>3688667.3</v>
      </c>
      <c r="AC20" s="5">
        <f t="shared" si="0"/>
        <v>21278491.449999999</v>
      </c>
      <c r="AD20" s="5">
        <f t="shared" si="0"/>
        <v>5755265.1500000004</v>
      </c>
      <c r="AE20" s="5">
        <f t="shared" si="0"/>
        <v>11107091.559999999</v>
      </c>
      <c r="AF20" s="5">
        <f t="shared" si="0"/>
        <v>8074830.0700000003</v>
      </c>
      <c r="AG20" s="5">
        <f t="shared" si="0"/>
        <v>16383470.729999999</v>
      </c>
      <c r="AH20" s="5">
        <f t="shared" si="0"/>
        <v>27952567.260000002</v>
      </c>
      <c r="AI20" s="5">
        <f t="shared" ref="AI20:BN20" si="1">SUM(AI17:AI19)</f>
        <v>11294836.57</v>
      </c>
      <c r="AJ20" s="5">
        <f t="shared" si="1"/>
        <v>12610438.870000001</v>
      </c>
      <c r="AK20" s="5">
        <f t="shared" si="1"/>
        <v>12991027.18</v>
      </c>
      <c r="AL20" s="5">
        <f t="shared" si="1"/>
        <v>11651244.109999999</v>
      </c>
      <c r="AM20" s="5">
        <f t="shared" si="1"/>
        <v>11920767.01</v>
      </c>
      <c r="AN20" s="5">
        <f t="shared" si="1"/>
        <v>4869893.9399999995</v>
      </c>
      <c r="AO20" s="5">
        <f t="shared" si="1"/>
        <v>19392936.870000001</v>
      </c>
      <c r="AP20" s="5">
        <f t="shared" si="1"/>
        <v>10166307.780000001</v>
      </c>
      <c r="AQ20" s="5">
        <f t="shared" si="1"/>
        <v>11346402.729999999</v>
      </c>
      <c r="AR20" s="5">
        <f t="shared" si="1"/>
        <v>5404218.2600000007</v>
      </c>
      <c r="AS20" s="5">
        <f t="shared" si="1"/>
        <v>3710729.82</v>
      </c>
      <c r="AT20" s="5">
        <f t="shared" si="1"/>
        <v>3486683.57</v>
      </c>
      <c r="AU20" s="5">
        <f t="shared" si="1"/>
        <v>8158825.4400000004</v>
      </c>
      <c r="AV20" s="5">
        <f t="shared" si="1"/>
        <v>7442690.2800000003</v>
      </c>
      <c r="AW20" s="5">
        <f t="shared" si="1"/>
        <v>10528073.15</v>
      </c>
      <c r="AX20" s="5">
        <f t="shared" si="1"/>
        <v>12146685.699999999</v>
      </c>
      <c r="AY20" s="5">
        <f t="shared" si="1"/>
        <v>14675501.129999999</v>
      </c>
      <c r="AZ20" s="5">
        <f t="shared" si="1"/>
        <v>9200697.0700000003</v>
      </c>
      <c r="BA20" s="5">
        <f t="shared" si="1"/>
        <v>56825464.229999997</v>
      </c>
      <c r="BB20" s="5">
        <f t="shared" si="1"/>
        <v>21938116.23</v>
      </c>
      <c r="BC20" s="5">
        <f t="shared" si="1"/>
        <v>6069081.1299999999</v>
      </c>
      <c r="BD20" s="5">
        <f t="shared" si="1"/>
        <v>7637023.21</v>
      </c>
      <c r="BE20" s="5">
        <f t="shared" si="1"/>
        <v>11536570.879999999</v>
      </c>
      <c r="BF20" s="5">
        <f t="shared" si="1"/>
        <v>16977821.760000002</v>
      </c>
      <c r="BG20" s="5">
        <f t="shared" si="1"/>
        <v>3771012.3600000003</v>
      </c>
      <c r="BH20" s="5">
        <f t="shared" si="1"/>
        <v>15942037.68</v>
      </c>
      <c r="BI20" s="5">
        <f t="shared" si="1"/>
        <v>11706833.689999999</v>
      </c>
      <c r="BJ20" s="5">
        <f t="shared" si="1"/>
        <v>4513088.53</v>
      </c>
      <c r="BK20" s="5">
        <f t="shared" si="1"/>
        <v>8277296.5900000008</v>
      </c>
      <c r="BL20" s="5">
        <f t="shared" si="1"/>
        <v>24982502.789999999</v>
      </c>
      <c r="BM20" s="5">
        <f t="shared" si="1"/>
        <v>10540157.040000001</v>
      </c>
      <c r="BN20" s="5">
        <f t="shared" si="1"/>
        <v>15774359.129999999</v>
      </c>
      <c r="BO20" s="5">
        <f t="shared" ref="BO20:BZ20" si="2">SUM(BO17:BO19)</f>
        <v>28508470.939999998</v>
      </c>
      <c r="BP20" s="5">
        <f t="shared" si="2"/>
        <v>23527710.210000001</v>
      </c>
      <c r="BQ20" s="5">
        <f t="shared" si="2"/>
        <v>9161375.7800000012</v>
      </c>
      <c r="BR20" s="5">
        <f t="shared" si="2"/>
        <v>51664640.369999997</v>
      </c>
      <c r="BS20" s="5">
        <f t="shared" si="2"/>
        <v>10751780.68</v>
      </c>
      <c r="BT20" s="5">
        <f t="shared" si="2"/>
        <v>11680280.189999999</v>
      </c>
      <c r="BU20" s="5">
        <f t="shared" si="2"/>
        <v>4184090.1</v>
      </c>
      <c r="BV20" s="5">
        <f t="shared" si="2"/>
        <v>8207099.2800000003</v>
      </c>
      <c r="BW20" s="5">
        <f t="shared" si="2"/>
        <v>37801763.559999995</v>
      </c>
      <c r="BX20" s="5">
        <f t="shared" si="2"/>
        <v>5333810.99</v>
      </c>
      <c r="BY20" s="5">
        <f t="shared" si="2"/>
        <v>10029846.200000001</v>
      </c>
      <c r="BZ20" s="5">
        <f t="shared" si="2"/>
        <v>20379394.420000002</v>
      </c>
      <c r="CA20" s="38"/>
      <c r="CB20" s="38"/>
    </row>
    <row r="21" spans="1:80" x14ac:dyDescent="0.2">
      <c r="A21" s="38"/>
      <c r="B21" s="30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38"/>
      <c r="CB21" s="38"/>
    </row>
    <row r="22" spans="1:80" x14ac:dyDescent="0.2">
      <c r="A22" s="38"/>
      <c r="B22" s="30" t="s">
        <v>134</v>
      </c>
      <c r="C22" s="5">
        <f>C20/C14</f>
        <v>19034.493428512094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38"/>
      <c r="CB22" s="38"/>
    </row>
    <row r="23" spans="1:80" x14ac:dyDescent="0.2">
      <c r="A23" s="38"/>
      <c r="B23" s="30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38"/>
      <c r="CB23" s="38"/>
    </row>
    <row r="24" spans="1:80" x14ac:dyDescent="0.2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80" s="57" customFormat="1" ht="15.75" x14ac:dyDescent="0.25">
      <c r="A25" s="22" t="s">
        <v>98</v>
      </c>
      <c r="B25" s="22" t="s">
        <v>122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22"/>
      <c r="CB25" s="22"/>
    </row>
    <row r="26" spans="1:80" x14ac:dyDescent="0.2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80" s="32" customFormat="1" x14ac:dyDescent="0.2">
      <c r="A27" s="63" t="s">
        <v>128</v>
      </c>
      <c r="B27" s="61" t="s">
        <v>127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1"/>
      <c r="CB27" s="61"/>
    </row>
    <row r="28" spans="1:80" x14ac:dyDescent="0.2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80" x14ac:dyDescent="0.2">
      <c r="B29" s="3" t="s">
        <v>130</v>
      </c>
      <c r="C29" s="10">
        <v>0.65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80" x14ac:dyDescent="0.2">
      <c r="B30" s="38" t="s">
        <v>131</v>
      </c>
      <c r="C30" s="10">
        <v>0.2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80" x14ac:dyDescent="0.2">
      <c r="B31" s="38" t="s">
        <v>132</v>
      </c>
      <c r="C31" s="64">
        <f t="shared" ref="C31:AH31" si="3">C14/C12</f>
        <v>0.11128850542614759</v>
      </c>
      <c r="D31" s="64">
        <f t="shared" si="3"/>
        <v>9.4316633476574777E-2</v>
      </c>
      <c r="E31" s="64">
        <f t="shared" si="3"/>
        <v>0.11038895094952778</v>
      </c>
      <c r="F31" s="64">
        <f t="shared" si="3"/>
        <v>0.14607558139534885</v>
      </c>
      <c r="G31" s="64">
        <f t="shared" si="3"/>
        <v>0.1215780998389694</v>
      </c>
      <c r="H31" s="64">
        <f t="shared" si="3"/>
        <v>0.11957119296316658</v>
      </c>
      <c r="I31" s="64">
        <f t="shared" si="3"/>
        <v>0.10692154185484717</v>
      </c>
      <c r="J31" s="64">
        <f t="shared" si="3"/>
        <v>0.11154818769317223</v>
      </c>
      <c r="K31" s="64">
        <f t="shared" si="3"/>
        <v>0.11712707182320442</v>
      </c>
      <c r="L31" s="64">
        <f t="shared" si="3"/>
        <v>0.14006309148264984</v>
      </c>
      <c r="M31" s="64">
        <f t="shared" si="3"/>
        <v>0.1375968992248062</v>
      </c>
      <c r="N31" s="64">
        <f t="shared" si="3"/>
        <v>0.13327637761640324</v>
      </c>
      <c r="O31" s="64">
        <f t="shared" si="3"/>
        <v>9.2729188619599584E-2</v>
      </c>
      <c r="P31" s="64">
        <f t="shared" si="3"/>
        <v>9.7118910424305913E-2</v>
      </c>
      <c r="Q31" s="64">
        <f t="shared" si="3"/>
        <v>0.10518540404786526</v>
      </c>
      <c r="R31" s="64">
        <f t="shared" si="3"/>
        <v>8.6102282577289802E-2</v>
      </c>
      <c r="S31" s="64">
        <f t="shared" si="3"/>
        <v>0.10974207327090521</v>
      </c>
      <c r="T31" s="64">
        <f t="shared" si="3"/>
        <v>0.10467429139731477</v>
      </c>
      <c r="U31" s="64">
        <f t="shared" si="3"/>
        <v>0.11583983883152858</v>
      </c>
      <c r="V31" s="64">
        <f t="shared" si="3"/>
        <v>0.10470470470470471</v>
      </c>
      <c r="W31" s="64">
        <f t="shared" si="3"/>
        <v>0.11395037884415392</v>
      </c>
      <c r="X31" s="64">
        <f t="shared" si="3"/>
        <v>0.11421495789995047</v>
      </c>
      <c r="Y31" s="64">
        <f t="shared" si="3"/>
        <v>0.10141020323517212</v>
      </c>
      <c r="Z31" s="64">
        <f t="shared" si="3"/>
        <v>0.11253561253561253</v>
      </c>
      <c r="AA31" s="64">
        <f t="shared" si="3"/>
        <v>0.10700647517848248</v>
      </c>
      <c r="AB31" s="64">
        <f t="shared" si="3"/>
        <v>0.12621990891346779</v>
      </c>
      <c r="AC31" s="64">
        <f t="shared" si="3"/>
        <v>0.12167384343601634</v>
      </c>
      <c r="AD31" s="64">
        <f t="shared" si="3"/>
        <v>0.13036371066612179</v>
      </c>
      <c r="AE31" s="64">
        <f t="shared" si="3"/>
        <v>9.9240506329113923E-2</v>
      </c>
      <c r="AF31" s="64">
        <f t="shared" si="3"/>
        <v>0.12513842746400886</v>
      </c>
      <c r="AG31" s="64">
        <f t="shared" si="3"/>
        <v>0.12144238739983421</v>
      </c>
      <c r="AH31" s="64">
        <f t="shared" si="3"/>
        <v>0.11064278187565858</v>
      </c>
      <c r="AI31" s="64">
        <f t="shared" ref="AI31:BN31" si="4">AI14/AI12</f>
        <v>0.12034548944337813</v>
      </c>
      <c r="AJ31" s="64">
        <f t="shared" si="4"/>
        <v>0.12573154615820276</v>
      </c>
      <c r="AK31" s="64">
        <f t="shared" si="4"/>
        <v>0.11712724935732648</v>
      </c>
      <c r="AL31" s="64">
        <f t="shared" si="4"/>
        <v>0.11586596689543803</v>
      </c>
      <c r="AM31" s="64">
        <f t="shared" si="4"/>
        <v>9.7889262771489752E-2</v>
      </c>
      <c r="AN31" s="64">
        <f t="shared" si="4"/>
        <v>0.11528497409326424</v>
      </c>
      <c r="AO31" s="64">
        <f t="shared" si="4"/>
        <v>0.12156601045489934</v>
      </c>
      <c r="AP31" s="64">
        <f t="shared" si="4"/>
        <v>0.12022073314938904</v>
      </c>
      <c r="AQ31" s="64">
        <f t="shared" si="4"/>
        <v>0.11877262540941216</v>
      </c>
      <c r="AR31" s="64">
        <f t="shared" si="4"/>
        <v>9.7000000000000003E-2</v>
      </c>
      <c r="AS31" s="64">
        <f t="shared" si="4"/>
        <v>9.8123324396782841E-2</v>
      </c>
      <c r="AT31" s="64">
        <f t="shared" si="4"/>
        <v>9.6559378468368484E-2</v>
      </c>
      <c r="AU31" s="64">
        <f t="shared" si="4"/>
        <v>0.13287775246772968</v>
      </c>
      <c r="AV31" s="64">
        <f t="shared" si="4"/>
        <v>0.13388429752066117</v>
      </c>
      <c r="AW31" s="64">
        <f t="shared" si="4"/>
        <v>0.11831378007556174</v>
      </c>
      <c r="AX31" s="64">
        <f t="shared" si="4"/>
        <v>0.10490538306081205</v>
      </c>
      <c r="AY31" s="64">
        <f t="shared" si="4"/>
        <v>0.11867763558805607</v>
      </c>
      <c r="AZ31" s="64">
        <f t="shared" si="4"/>
        <v>0.10858273559238189</v>
      </c>
      <c r="BA31" s="64">
        <f t="shared" si="4"/>
        <v>0.10061808250682766</v>
      </c>
      <c r="BB31" s="64">
        <f t="shared" si="4"/>
        <v>0.12159414396095974</v>
      </c>
      <c r="BC31" s="64">
        <f t="shared" si="4"/>
        <v>0.12428078250863062</v>
      </c>
      <c r="BD31" s="64">
        <f t="shared" si="4"/>
        <v>0.10804157549234136</v>
      </c>
      <c r="BE31" s="64">
        <f t="shared" si="4"/>
        <v>0.11304692140170264</v>
      </c>
      <c r="BF31" s="64">
        <f t="shared" si="4"/>
        <v>0.10870789681198603</v>
      </c>
      <c r="BG31" s="64">
        <f t="shared" si="4"/>
        <v>0.10255102040816326</v>
      </c>
      <c r="BH31" s="64">
        <f t="shared" si="4"/>
        <v>0.12897554738692665</v>
      </c>
      <c r="BI31" s="64">
        <f t="shared" si="4"/>
        <v>0.11988188976377953</v>
      </c>
      <c r="BJ31" s="64">
        <f t="shared" si="4"/>
        <v>0.14011159330440173</v>
      </c>
      <c r="BK31" s="64">
        <f t="shared" si="4"/>
        <v>0.1481353591160221</v>
      </c>
      <c r="BL31" s="64">
        <f t="shared" si="4"/>
        <v>0.13256851497769279</v>
      </c>
      <c r="BM31" s="64">
        <f t="shared" si="4"/>
        <v>0.13520408163265307</v>
      </c>
      <c r="BN31" s="64">
        <f t="shared" si="4"/>
        <v>0.12108305445695162</v>
      </c>
      <c r="BO31" s="64">
        <f t="shared" ref="BO31:BZ31" si="5">BO14/BO12</f>
        <v>0.12161861706069814</v>
      </c>
      <c r="BP31" s="64">
        <f t="shared" si="5"/>
        <v>0.12236690923018001</v>
      </c>
      <c r="BQ31" s="64">
        <f t="shared" si="5"/>
        <v>0.13396547532214928</v>
      </c>
      <c r="BR31" s="64">
        <f t="shared" si="5"/>
        <v>0.10499465152637209</v>
      </c>
      <c r="BS31" s="64">
        <f t="shared" si="5"/>
        <v>0.11633663366336634</v>
      </c>
      <c r="BT31" s="64">
        <f t="shared" si="5"/>
        <v>0.12274129572498899</v>
      </c>
      <c r="BU31" s="64">
        <f t="shared" si="5"/>
        <v>0.14370468029004616</v>
      </c>
      <c r="BV31" s="64">
        <f t="shared" si="5"/>
        <v>0.1464487743557511</v>
      </c>
      <c r="BW31" s="64">
        <f t="shared" si="5"/>
        <v>0.1081756119220736</v>
      </c>
      <c r="BX31" s="64">
        <f t="shared" si="5"/>
        <v>0.13799712505989459</v>
      </c>
      <c r="BY31" s="64">
        <f t="shared" si="5"/>
        <v>0.14794059960773326</v>
      </c>
      <c r="BZ31" s="64">
        <f t="shared" si="5"/>
        <v>0.11645210818471714</v>
      </c>
    </row>
    <row r="32" spans="1:80" x14ac:dyDescent="0.2">
      <c r="A32" s="38"/>
      <c r="B32" s="30" t="s">
        <v>118</v>
      </c>
      <c r="C32" s="5"/>
      <c r="D32" s="12">
        <v>1.1100000000000001</v>
      </c>
      <c r="E32" s="12">
        <v>1.03</v>
      </c>
      <c r="F32" s="12">
        <v>0.86</v>
      </c>
      <c r="G32" s="12">
        <v>0.84</v>
      </c>
      <c r="H32" s="12">
        <v>0.82</v>
      </c>
      <c r="I32" s="12">
        <v>0.98</v>
      </c>
      <c r="J32" s="12">
        <v>0.97</v>
      </c>
      <c r="K32" s="12">
        <v>0.87</v>
      </c>
      <c r="L32" s="12">
        <v>0.83</v>
      </c>
      <c r="M32" s="12">
        <v>0.8</v>
      </c>
      <c r="N32" s="12">
        <v>0.86</v>
      </c>
      <c r="O32" s="12">
        <v>0.99</v>
      </c>
      <c r="P32" s="12">
        <v>1.2</v>
      </c>
      <c r="Q32" s="12">
        <v>0.95</v>
      </c>
      <c r="R32" s="12">
        <v>1.04</v>
      </c>
      <c r="S32" s="12">
        <v>1.1000000000000001</v>
      </c>
      <c r="T32" s="12">
        <v>1.02</v>
      </c>
      <c r="U32" s="12">
        <v>0.9</v>
      </c>
      <c r="V32" s="12">
        <v>0.91</v>
      </c>
      <c r="W32" s="12">
        <v>0.9</v>
      </c>
      <c r="X32" s="12">
        <v>0.95</v>
      </c>
      <c r="Y32" s="12">
        <v>1.06</v>
      </c>
      <c r="Z32" s="12">
        <v>0.88</v>
      </c>
      <c r="AA32" s="12">
        <v>0.98</v>
      </c>
      <c r="AB32" s="12">
        <v>0.88</v>
      </c>
      <c r="AC32" s="12">
        <v>0.92</v>
      </c>
      <c r="AD32" s="12">
        <v>0.94</v>
      </c>
      <c r="AE32" s="12">
        <v>0.95</v>
      </c>
      <c r="AF32" s="12">
        <v>0.91</v>
      </c>
      <c r="AG32" s="12">
        <v>0.93</v>
      </c>
      <c r="AH32" s="12">
        <v>1.01</v>
      </c>
      <c r="AI32" s="12">
        <v>1.05</v>
      </c>
      <c r="AJ32" s="12">
        <v>0.97</v>
      </c>
      <c r="AK32" s="12">
        <v>0.94</v>
      </c>
      <c r="AL32" s="12">
        <v>0.89</v>
      </c>
      <c r="AM32" s="12">
        <v>0.93</v>
      </c>
      <c r="AN32" s="12">
        <v>0.89</v>
      </c>
      <c r="AO32" s="12">
        <v>0.92</v>
      </c>
      <c r="AP32" s="12">
        <v>1</v>
      </c>
      <c r="AQ32" s="12">
        <v>0.93</v>
      </c>
      <c r="AR32" s="12">
        <v>0.92</v>
      </c>
      <c r="AS32" s="12">
        <v>0.86</v>
      </c>
      <c r="AT32" s="12">
        <v>0.89</v>
      </c>
      <c r="AU32" s="12">
        <v>0.91</v>
      </c>
      <c r="AV32" s="12">
        <v>0.89</v>
      </c>
      <c r="AW32" s="12">
        <v>0.91</v>
      </c>
      <c r="AX32" s="12">
        <v>0.92</v>
      </c>
      <c r="AY32" s="12">
        <v>1.01</v>
      </c>
      <c r="AZ32" s="12">
        <v>0.96</v>
      </c>
      <c r="BA32" s="12">
        <v>0.93</v>
      </c>
      <c r="BB32" s="12">
        <v>0.9</v>
      </c>
      <c r="BC32" s="12">
        <v>0.95</v>
      </c>
      <c r="BD32" s="12">
        <v>1</v>
      </c>
      <c r="BE32" s="12">
        <v>1.01</v>
      </c>
      <c r="BF32" s="12">
        <v>1.04</v>
      </c>
      <c r="BG32" s="12">
        <v>1.02</v>
      </c>
      <c r="BH32" s="12">
        <v>1.01</v>
      </c>
      <c r="BI32" s="12">
        <v>0.97</v>
      </c>
      <c r="BJ32" s="12">
        <v>0.97</v>
      </c>
      <c r="BK32" s="12">
        <v>0.9</v>
      </c>
      <c r="BL32" s="12">
        <v>0.99</v>
      </c>
      <c r="BM32" s="12">
        <v>0.88</v>
      </c>
      <c r="BN32" s="12">
        <v>0.94</v>
      </c>
      <c r="BO32" s="12">
        <v>1</v>
      </c>
      <c r="BP32" s="12">
        <v>1.02</v>
      </c>
      <c r="BQ32" s="12">
        <v>0.98</v>
      </c>
      <c r="BR32" s="12">
        <v>1.08</v>
      </c>
      <c r="BS32" s="12">
        <v>0.86</v>
      </c>
      <c r="BT32" s="12">
        <v>0.88</v>
      </c>
      <c r="BU32" s="12">
        <v>0.82</v>
      </c>
      <c r="BV32" s="12">
        <v>0.83</v>
      </c>
      <c r="BW32" s="12">
        <v>0.95</v>
      </c>
      <c r="BX32" s="12">
        <v>0.85</v>
      </c>
      <c r="BY32" s="12">
        <v>0.86</v>
      </c>
      <c r="BZ32" s="12">
        <v>0.92</v>
      </c>
      <c r="CA32" s="38"/>
      <c r="CB32" s="38" t="s">
        <v>121</v>
      </c>
    </row>
    <row r="33" spans="1:80" x14ac:dyDescent="0.2">
      <c r="B33" s="38" t="s">
        <v>133</v>
      </c>
      <c r="C33" s="5"/>
      <c r="D33" s="5">
        <f>1+(D32-1)*0.15</f>
        <v>1.0165</v>
      </c>
      <c r="E33" s="5">
        <f t="shared" ref="E33:BN33" si="6">1+(E32-1)*0.15</f>
        <v>1.0044999999999999</v>
      </c>
      <c r="F33" s="5">
        <f t="shared" si="6"/>
        <v>0.97899999999999998</v>
      </c>
      <c r="G33" s="5">
        <f t="shared" si="6"/>
        <v>0.97599999999999998</v>
      </c>
      <c r="H33" s="5">
        <f t="shared" si="6"/>
        <v>0.97299999999999998</v>
      </c>
      <c r="I33" s="5">
        <f t="shared" si="6"/>
        <v>0.997</v>
      </c>
      <c r="J33" s="5">
        <f t="shared" si="6"/>
        <v>0.99550000000000005</v>
      </c>
      <c r="K33" s="5">
        <f t="shared" si="6"/>
        <v>0.98050000000000004</v>
      </c>
      <c r="L33" s="5">
        <f t="shared" si="6"/>
        <v>0.97450000000000003</v>
      </c>
      <c r="M33" s="5">
        <f t="shared" si="6"/>
        <v>0.97</v>
      </c>
      <c r="N33" s="5">
        <f t="shared" si="6"/>
        <v>0.97899999999999998</v>
      </c>
      <c r="O33" s="5">
        <f t="shared" si="6"/>
        <v>0.99849999999999994</v>
      </c>
      <c r="P33" s="5">
        <f t="shared" si="6"/>
        <v>1.03</v>
      </c>
      <c r="Q33" s="5">
        <f t="shared" si="6"/>
        <v>0.99249999999999994</v>
      </c>
      <c r="R33" s="5">
        <f t="shared" si="6"/>
        <v>1.006</v>
      </c>
      <c r="S33" s="5">
        <f t="shared" si="6"/>
        <v>1.0150000000000001</v>
      </c>
      <c r="T33" s="5">
        <f t="shared" si="6"/>
        <v>1.0030000000000001</v>
      </c>
      <c r="U33" s="5">
        <f t="shared" si="6"/>
        <v>0.98499999999999999</v>
      </c>
      <c r="V33" s="5">
        <f t="shared" si="6"/>
        <v>0.98650000000000004</v>
      </c>
      <c r="W33" s="5">
        <f t="shared" si="6"/>
        <v>0.98499999999999999</v>
      </c>
      <c r="X33" s="5">
        <f t="shared" si="6"/>
        <v>0.99249999999999994</v>
      </c>
      <c r="Y33" s="5">
        <f t="shared" si="6"/>
        <v>1.0089999999999999</v>
      </c>
      <c r="Z33" s="5">
        <f t="shared" si="6"/>
        <v>0.98199999999999998</v>
      </c>
      <c r="AA33" s="5">
        <f t="shared" si="6"/>
        <v>0.997</v>
      </c>
      <c r="AB33" s="5">
        <f t="shared" si="6"/>
        <v>0.98199999999999998</v>
      </c>
      <c r="AC33" s="5">
        <f t="shared" si="6"/>
        <v>0.98799999999999999</v>
      </c>
      <c r="AD33" s="5">
        <f t="shared" si="6"/>
        <v>0.99099999999999999</v>
      </c>
      <c r="AE33" s="5">
        <f t="shared" si="6"/>
        <v>0.99249999999999994</v>
      </c>
      <c r="AF33" s="5">
        <f t="shared" si="6"/>
        <v>0.98650000000000004</v>
      </c>
      <c r="AG33" s="5">
        <f t="shared" si="6"/>
        <v>0.98950000000000005</v>
      </c>
      <c r="AH33" s="5">
        <f t="shared" si="6"/>
        <v>1.0015000000000001</v>
      </c>
      <c r="AI33" s="5">
        <f t="shared" si="6"/>
        <v>1.0075000000000001</v>
      </c>
      <c r="AJ33" s="5">
        <f t="shared" si="6"/>
        <v>0.99550000000000005</v>
      </c>
      <c r="AK33" s="5">
        <f t="shared" si="6"/>
        <v>0.99099999999999999</v>
      </c>
      <c r="AL33" s="5">
        <f t="shared" si="6"/>
        <v>0.98350000000000004</v>
      </c>
      <c r="AM33" s="5">
        <f t="shared" si="6"/>
        <v>0.98950000000000005</v>
      </c>
      <c r="AN33" s="5">
        <f t="shared" si="6"/>
        <v>0.98350000000000004</v>
      </c>
      <c r="AO33" s="5">
        <f t="shared" si="6"/>
        <v>0.98799999999999999</v>
      </c>
      <c r="AP33" s="5">
        <f t="shared" si="6"/>
        <v>1</v>
      </c>
      <c r="AQ33" s="5">
        <f t="shared" si="6"/>
        <v>0.98950000000000005</v>
      </c>
      <c r="AR33" s="5">
        <f t="shared" si="6"/>
        <v>0.98799999999999999</v>
      </c>
      <c r="AS33" s="5">
        <f t="shared" si="6"/>
        <v>0.97899999999999998</v>
      </c>
      <c r="AT33" s="5">
        <f t="shared" si="6"/>
        <v>0.98350000000000004</v>
      </c>
      <c r="AU33" s="5">
        <f t="shared" si="6"/>
        <v>0.98650000000000004</v>
      </c>
      <c r="AV33" s="5">
        <f t="shared" si="6"/>
        <v>0.98350000000000004</v>
      </c>
      <c r="AW33" s="5">
        <f t="shared" si="6"/>
        <v>0.98650000000000004</v>
      </c>
      <c r="AX33" s="5">
        <f t="shared" si="6"/>
        <v>0.98799999999999999</v>
      </c>
      <c r="AY33" s="5">
        <f t="shared" si="6"/>
        <v>1.0015000000000001</v>
      </c>
      <c r="AZ33" s="5">
        <f t="shared" si="6"/>
        <v>0.99399999999999999</v>
      </c>
      <c r="BA33" s="5">
        <f t="shared" si="6"/>
        <v>0.98950000000000005</v>
      </c>
      <c r="BB33" s="5">
        <f t="shared" si="6"/>
        <v>0.98499999999999999</v>
      </c>
      <c r="BC33" s="5">
        <f t="shared" si="6"/>
        <v>0.99249999999999994</v>
      </c>
      <c r="BD33" s="5">
        <f t="shared" si="6"/>
        <v>1</v>
      </c>
      <c r="BE33" s="5">
        <f t="shared" si="6"/>
        <v>1.0015000000000001</v>
      </c>
      <c r="BF33" s="5">
        <f t="shared" si="6"/>
        <v>1.006</v>
      </c>
      <c r="BG33" s="5">
        <f t="shared" si="6"/>
        <v>1.0030000000000001</v>
      </c>
      <c r="BH33" s="5">
        <f t="shared" ref="BH33" si="7">1+(BH32-1)*0.15</f>
        <v>1.0015000000000001</v>
      </c>
      <c r="BI33" s="5">
        <f t="shared" si="6"/>
        <v>0.99550000000000005</v>
      </c>
      <c r="BJ33" s="5">
        <f t="shared" si="6"/>
        <v>0.99550000000000005</v>
      </c>
      <c r="BK33" s="5">
        <f t="shared" si="6"/>
        <v>0.98499999999999999</v>
      </c>
      <c r="BL33" s="5">
        <f t="shared" si="6"/>
        <v>0.99849999999999994</v>
      </c>
      <c r="BM33" s="5">
        <f t="shared" si="6"/>
        <v>0.98199999999999998</v>
      </c>
      <c r="BN33" s="5">
        <f t="shared" si="6"/>
        <v>0.99099999999999999</v>
      </c>
      <c r="BO33" s="5">
        <f t="shared" ref="BO33:BZ33" si="8">1+(BO32-1)*0.15</f>
        <v>1</v>
      </c>
      <c r="BP33" s="5">
        <f t="shared" si="8"/>
        <v>1.0030000000000001</v>
      </c>
      <c r="BQ33" s="5">
        <f t="shared" si="8"/>
        <v>0.997</v>
      </c>
      <c r="BR33" s="5">
        <f t="shared" si="8"/>
        <v>1.012</v>
      </c>
      <c r="BS33" s="5">
        <f t="shared" si="8"/>
        <v>0.97899999999999998</v>
      </c>
      <c r="BT33" s="5">
        <f t="shared" si="8"/>
        <v>0.98199999999999998</v>
      </c>
      <c r="BU33" s="5">
        <f t="shared" si="8"/>
        <v>0.97299999999999998</v>
      </c>
      <c r="BV33" s="5">
        <f t="shared" si="8"/>
        <v>0.97450000000000003</v>
      </c>
      <c r="BW33" s="5">
        <f t="shared" si="8"/>
        <v>0.99249999999999994</v>
      </c>
      <c r="BX33" s="5">
        <f t="shared" si="8"/>
        <v>0.97750000000000004</v>
      </c>
      <c r="BY33" s="5">
        <f t="shared" si="8"/>
        <v>0.97899999999999998</v>
      </c>
      <c r="BZ33" s="5">
        <f t="shared" si="8"/>
        <v>0.98799999999999999</v>
      </c>
    </row>
    <row r="34" spans="1:80" x14ac:dyDescent="0.2">
      <c r="B34" s="38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80" s="32" customFormat="1" x14ac:dyDescent="0.2">
      <c r="A35" s="21"/>
      <c r="B35" s="32" t="s">
        <v>135</v>
      </c>
      <c r="C35" s="15"/>
      <c r="D35" s="15">
        <f t="shared" ref="D35:AI35" si="9">IF(D31*D33&gt;$C31,(D31*D33-$C31)*D12*$C22*$C29,(D31*D33-$C31)*D12*$C22*$C30)</f>
        <v>-4479370.3680131398</v>
      </c>
      <c r="E35" s="15">
        <f t="shared" si="9"/>
        <v>-15099.732175024978</v>
      </c>
      <c r="F35" s="15">
        <f t="shared" si="9"/>
        <v>540006.87967845949</v>
      </c>
      <c r="G35" s="15">
        <f t="shared" si="9"/>
        <v>113277.8787519265</v>
      </c>
      <c r="H35" s="15">
        <f t="shared" si="9"/>
        <v>227496.86244778734</v>
      </c>
      <c r="I35" s="15">
        <f t="shared" si="9"/>
        <v>-169908.96979250916</v>
      </c>
      <c r="J35" s="15">
        <f t="shared" si="9"/>
        <v>-3282.653757598885</v>
      </c>
      <c r="K35" s="15">
        <f t="shared" si="9"/>
        <v>39800.872277977156</v>
      </c>
      <c r="L35" s="15">
        <f t="shared" si="9"/>
        <v>494237.61294974288</v>
      </c>
      <c r="M35" s="15">
        <f t="shared" si="9"/>
        <v>283207.95700198476</v>
      </c>
      <c r="N35" s="15">
        <f t="shared" si="9"/>
        <v>555789.04384385329</v>
      </c>
      <c r="O35" s="15">
        <f t="shared" si="9"/>
        <v>-540420.99206574121</v>
      </c>
      <c r="P35" s="15">
        <f t="shared" si="9"/>
        <v>-409008.56671688368</v>
      </c>
      <c r="Q35" s="15">
        <f t="shared" si="9"/>
        <v>-177599.03102126741</v>
      </c>
      <c r="R35" s="15">
        <f t="shared" si="9"/>
        <v>-325038.78591611749</v>
      </c>
      <c r="S35" s="15">
        <f t="shared" si="9"/>
        <v>7508.4196781640348</v>
      </c>
      <c r="T35" s="15">
        <f t="shared" si="9"/>
        <v>-192928.81974496672</v>
      </c>
      <c r="U35" s="15">
        <f t="shared" si="9"/>
        <v>138241.3247006743</v>
      </c>
      <c r="V35" s="15">
        <f t="shared" si="9"/>
        <v>-152072.60042577269</v>
      </c>
      <c r="W35" s="15">
        <f t="shared" si="9"/>
        <v>79332.827491296848</v>
      </c>
      <c r="X35" s="15">
        <f t="shared" si="9"/>
        <v>258522.19784801637</v>
      </c>
      <c r="Y35" s="15">
        <f t="shared" si="9"/>
        <v>-164580.50320145537</v>
      </c>
      <c r="Z35" s="15">
        <f t="shared" si="9"/>
        <v>-6241.7622572110722</v>
      </c>
      <c r="AA35" s="15">
        <f t="shared" si="9"/>
        <v>-211086.1988261134</v>
      </c>
      <c r="AB35" s="15">
        <f t="shared" si="9"/>
        <v>240737.20725734244</v>
      </c>
      <c r="AC35" s="15">
        <f t="shared" si="9"/>
        <v>1000137.0806431328</v>
      </c>
      <c r="AD35" s="15">
        <f t="shared" si="9"/>
        <v>541986.59923883073</v>
      </c>
      <c r="AE35" s="15">
        <f t="shared" si="9"/>
        <v>-288541.58137640794</v>
      </c>
      <c r="AF35" s="15">
        <f t="shared" si="9"/>
        <v>543445.1984998862</v>
      </c>
      <c r="AG35" s="15">
        <f t="shared" si="9"/>
        <v>795104.92928412533</v>
      </c>
      <c r="AH35" s="15">
        <f t="shared" si="9"/>
        <v>-24265.488544719454</v>
      </c>
      <c r="AI35" s="15">
        <f t="shared" si="9"/>
        <v>641997.32396627893</v>
      </c>
      <c r="AJ35" s="15">
        <f t="shared" ref="AJ35:BO35" si="10">IF(AJ31*AJ33&gt;$C31,(AJ31*AJ33-$C31)*AJ12*$C22*$C29,(AJ31*AJ33-$C31)*AJ12*$C22*$C30)</f>
        <v>909469.26458949386</v>
      </c>
      <c r="AK35" s="15">
        <f t="shared" si="10"/>
        <v>368442.55105954205</v>
      </c>
      <c r="AL35" s="15">
        <f t="shared" si="10"/>
        <v>163387.02227194479</v>
      </c>
      <c r="AM35" s="15">
        <f t="shared" si="10"/>
        <v>-359082.85755373474</v>
      </c>
      <c r="AN35" s="15">
        <f t="shared" si="10"/>
        <v>40006.811625478913</v>
      </c>
      <c r="AO35" s="15">
        <f t="shared" si="10"/>
        <v>980997.45747622522</v>
      </c>
      <c r="AP35" s="15">
        <f t="shared" si="10"/>
        <v>560744.37985323288</v>
      </c>
      <c r="AQ35" s="15">
        <f t="shared" si="10"/>
        <v>447645.06997210911</v>
      </c>
      <c r="AR35" s="15">
        <f t="shared" si="10"/>
        <v>-176478.3677928322</v>
      </c>
      <c r="AS35" s="15">
        <f t="shared" si="10"/>
        <v>-108100.93346630789</v>
      </c>
      <c r="AT35" s="15">
        <f t="shared" si="10"/>
        <v>-111971.88001756981</v>
      </c>
      <c r="AU35" s="15">
        <f t="shared" si="10"/>
        <v>967667.00739634864</v>
      </c>
      <c r="AV35" s="15">
        <f t="shared" si="10"/>
        <v>763004.35410711006</v>
      </c>
      <c r="AW35" s="15">
        <f t="shared" si="10"/>
        <v>337737.46893548645</v>
      </c>
      <c r="AX35" s="15">
        <f t="shared" si="10"/>
        <v>-158349.22627427094</v>
      </c>
      <c r="AY35" s="15">
        <f t="shared" si="10"/>
        <v>614547.42163753137</v>
      </c>
      <c r="AZ35" s="15">
        <f t="shared" si="10"/>
        <v>-51672.663073874566</v>
      </c>
      <c r="BA35" s="15">
        <f t="shared" si="10"/>
        <v>-1242330.1033423536</v>
      </c>
      <c r="BB35" s="15">
        <f t="shared" si="10"/>
        <v>1032184.7963029547</v>
      </c>
      <c r="BC35" s="15">
        <f t="shared" si="10"/>
        <v>388999.6266016725</v>
      </c>
      <c r="BD35" s="15">
        <f t="shared" si="10"/>
        <v>-45190.840935933287</v>
      </c>
      <c r="BE35" s="15">
        <f t="shared" si="10"/>
        <v>120485.83865622485</v>
      </c>
      <c r="BF35" s="15">
        <f t="shared" si="10"/>
        <v>-65166.730272246386</v>
      </c>
      <c r="BG35" s="15">
        <f t="shared" si="10"/>
        <v>-62899.371745887191</v>
      </c>
      <c r="BH35" s="15">
        <f t="shared" si="10"/>
        <v>1384205.6646012969</v>
      </c>
      <c r="BI35" s="15">
        <f t="shared" si="10"/>
        <v>506203.89084986487</v>
      </c>
      <c r="BJ35" s="15">
        <f t="shared" si="10"/>
        <v>562631.38780848787</v>
      </c>
      <c r="BK35" s="15">
        <f t="shared" si="10"/>
        <v>1240625.7849904771</v>
      </c>
      <c r="BL35" s="15">
        <f t="shared" si="10"/>
        <v>2455405.9956558943</v>
      </c>
      <c r="BM35" s="15">
        <f t="shared" si="10"/>
        <v>1041869.9037551258</v>
      </c>
      <c r="BN35" s="15">
        <f t="shared" si="10"/>
        <v>708016.29618827044</v>
      </c>
      <c r="BO35" s="15">
        <f t="shared" si="10"/>
        <v>1724519.9193463109</v>
      </c>
      <c r="BP35" s="15">
        <f t="shared" ref="BP35:BZ35" si="11">IF(BP31*BP33&gt;$C31,(BP31*BP33-$C31)*BP12*$C22*$C29,(BP31*BP33-$C31)*BP12*$C22*$C30)</f>
        <v>1478960.192465524</v>
      </c>
      <c r="BQ35" s="15">
        <f t="shared" si="11"/>
        <v>1133528.7365435455</v>
      </c>
      <c r="BR35" s="15">
        <f t="shared" si="11"/>
        <v>-465790.85361300223</v>
      </c>
      <c r="BS35" s="15">
        <f t="shared" si="11"/>
        <v>156255.33100429017</v>
      </c>
      <c r="BT35" s="15">
        <f t="shared" si="11"/>
        <v>518982.99231742526</v>
      </c>
      <c r="BU35" s="15">
        <f t="shared" si="11"/>
        <v>535593.89374566183</v>
      </c>
      <c r="BV35" s="15">
        <f t="shared" si="11"/>
        <v>1237204.6553619192</v>
      </c>
      <c r="BW35" s="15">
        <f t="shared" si="11"/>
        <v>-269157.26294051076</v>
      </c>
      <c r="BX35" s="15">
        <f t="shared" si="11"/>
        <v>609476.44634252484</v>
      </c>
      <c r="BY35" s="15">
        <f t="shared" si="11"/>
        <v>1481267.3372053406</v>
      </c>
      <c r="BZ35" s="15">
        <f t="shared" si="11"/>
        <v>394534.53050276678</v>
      </c>
      <c r="CA35" s="21"/>
      <c r="CB35" s="21"/>
    </row>
    <row r="36" spans="1:80" x14ac:dyDescent="0.2">
      <c r="C36" s="5"/>
      <c r="D36" s="5"/>
      <c r="E36" s="6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80" s="32" customFormat="1" x14ac:dyDescent="0.2">
      <c r="A37" s="63" t="s">
        <v>129</v>
      </c>
      <c r="B37" s="61" t="s">
        <v>123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1"/>
      <c r="CB37" s="61"/>
    </row>
    <row r="38" spans="1:80" x14ac:dyDescent="0.2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80" x14ac:dyDescent="0.2">
      <c r="B39" s="3" t="s">
        <v>125</v>
      </c>
      <c r="C39" s="12">
        <v>11000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80" x14ac:dyDescent="0.2">
      <c r="B40" s="38" t="s">
        <v>126</v>
      </c>
      <c r="C40" s="10">
        <v>0.65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80" x14ac:dyDescent="0.2">
      <c r="B41" s="3" t="s">
        <v>124</v>
      </c>
      <c r="C41" s="64">
        <f t="shared" ref="C41:AH41" si="12">C15/C12</f>
        <v>2.9254013038161174E-3</v>
      </c>
      <c r="D41" s="64">
        <f t="shared" si="12"/>
        <v>2.960905565454355E-3</v>
      </c>
      <c r="E41" s="64">
        <f t="shared" si="12"/>
        <v>3.8590433634609527E-3</v>
      </c>
      <c r="F41" s="64">
        <f t="shared" si="12"/>
        <v>1.4534883720930232E-3</v>
      </c>
      <c r="G41" s="64">
        <f t="shared" si="12"/>
        <v>2.4154589371980675E-3</v>
      </c>
      <c r="H41" s="64">
        <f t="shared" si="12"/>
        <v>2.7487630566245189E-3</v>
      </c>
      <c r="I41" s="64">
        <f t="shared" si="12"/>
        <v>3.8861464131918918E-3</v>
      </c>
      <c r="J41" s="64">
        <f t="shared" si="12"/>
        <v>1.6858668165214948E-3</v>
      </c>
      <c r="K41" s="64">
        <f t="shared" si="12"/>
        <v>0</v>
      </c>
      <c r="L41" s="64">
        <f t="shared" si="12"/>
        <v>6.3091482649842276E-4</v>
      </c>
      <c r="M41" s="64">
        <f t="shared" si="12"/>
        <v>2.9069767441860465E-3</v>
      </c>
      <c r="N41" s="64">
        <f t="shared" si="12"/>
        <v>5.5531824006834684E-3</v>
      </c>
      <c r="O41" s="64">
        <f t="shared" si="12"/>
        <v>3.4246575342465752E-3</v>
      </c>
      <c r="P41" s="64">
        <f t="shared" si="12"/>
        <v>4.504976427448926E-3</v>
      </c>
      <c r="Q41" s="64">
        <f t="shared" si="12"/>
        <v>2.215984635839858E-3</v>
      </c>
      <c r="R41" s="64">
        <f t="shared" si="12"/>
        <v>2.889338341519792E-3</v>
      </c>
      <c r="S41" s="64">
        <f t="shared" si="12"/>
        <v>2.135699030721209E-3</v>
      </c>
      <c r="T41" s="64">
        <f t="shared" si="12"/>
        <v>2.7349577324714074E-3</v>
      </c>
      <c r="U41" s="64">
        <f t="shared" si="12"/>
        <v>2.7700831024930748E-3</v>
      </c>
      <c r="V41" s="64">
        <f t="shared" si="12"/>
        <v>2.6026026026026027E-3</v>
      </c>
      <c r="W41" s="64">
        <f t="shared" si="12"/>
        <v>2.228495023027782E-3</v>
      </c>
      <c r="X41" s="64">
        <f t="shared" si="12"/>
        <v>3.4670629024269439E-3</v>
      </c>
      <c r="Y41" s="64">
        <f t="shared" si="12"/>
        <v>4.1476565740356701E-3</v>
      </c>
      <c r="Z41" s="64">
        <f t="shared" si="12"/>
        <v>1.4245014245014246E-3</v>
      </c>
      <c r="AA41" s="64">
        <f t="shared" si="12"/>
        <v>2.9055288062427363E-3</v>
      </c>
      <c r="AB41" s="64">
        <f t="shared" si="12"/>
        <v>2.6024723487312949E-3</v>
      </c>
      <c r="AC41" s="64">
        <f t="shared" si="12"/>
        <v>2.8707077398697142E-3</v>
      </c>
      <c r="AD41" s="64">
        <f t="shared" si="12"/>
        <v>1.6346546791990192E-3</v>
      </c>
      <c r="AE41" s="64">
        <f t="shared" si="12"/>
        <v>2.0253164556962027E-3</v>
      </c>
      <c r="AF41" s="64">
        <f t="shared" si="12"/>
        <v>2.4916943521594683E-3</v>
      </c>
      <c r="AG41" s="64">
        <f t="shared" si="12"/>
        <v>3.1776733904393477E-3</v>
      </c>
      <c r="AH41" s="64">
        <f t="shared" si="12"/>
        <v>2.7096191479753125E-3</v>
      </c>
      <c r="AI41" s="64">
        <f t="shared" ref="AI41:BN41" si="13">AI15/AI12</f>
        <v>2.8790786948176585E-3</v>
      </c>
      <c r="AJ41" s="64">
        <f t="shared" si="13"/>
        <v>1.3215027373985274E-3</v>
      </c>
      <c r="AK41" s="64">
        <f t="shared" si="13"/>
        <v>3.2133676092544988E-3</v>
      </c>
      <c r="AL41" s="64">
        <f t="shared" si="13"/>
        <v>2.8259991925716592E-3</v>
      </c>
      <c r="AM41" s="64">
        <f t="shared" si="13"/>
        <v>1.6824717038849801E-3</v>
      </c>
      <c r="AN41" s="64">
        <f t="shared" si="13"/>
        <v>6.4766839378238344E-4</v>
      </c>
      <c r="AO41" s="64">
        <f t="shared" si="13"/>
        <v>2.5581136692247805E-3</v>
      </c>
      <c r="AP41" s="64">
        <f t="shared" si="13"/>
        <v>3.3504138746551044E-3</v>
      </c>
      <c r="AQ41" s="64">
        <f t="shared" si="13"/>
        <v>2.2409929322530597E-3</v>
      </c>
      <c r="AR41" s="64">
        <f t="shared" si="13"/>
        <v>1.6666666666666668E-3</v>
      </c>
      <c r="AS41" s="64">
        <f t="shared" si="13"/>
        <v>1.0723860589812334E-3</v>
      </c>
      <c r="AT41" s="64">
        <f t="shared" si="13"/>
        <v>1.1098779134295228E-3</v>
      </c>
      <c r="AU41" s="64">
        <f t="shared" si="13"/>
        <v>4.0496076942546193E-3</v>
      </c>
      <c r="AV41" s="64">
        <f t="shared" si="13"/>
        <v>4.6280991735537192E-3</v>
      </c>
      <c r="AW41" s="64">
        <f t="shared" si="13"/>
        <v>3.1815470272419963E-3</v>
      </c>
      <c r="AX41" s="64">
        <f t="shared" si="13"/>
        <v>1.4697776961234614E-3</v>
      </c>
      <c r="AY41" s="64">
        <f t="shared" si="13"/>
        <v>4.1133455210237658E-3</v>
      </c>
      <c r="AZ41" s="64">
        <f t="shared" si="13"/>
        <v>3.4627751669552313E-3</v>
      </c>
      <c r="BA41" s="64">
        <f t="shared" si="13"/>
        <v>2.1201667385367254E-3</v>
      </c>
      <c r="BB41" s="64">
        <f t="shared" si="13"/>
        <v>2.2366815778771857E-3</v>
      </c>
      <c r="BC41" s="64">
        <f t="shared" si="13"/>
        <v>7.6716532412734941E-4</v>
      </c>
      <c r="BD41" s="64">
        <f t="shared" si="13"/>
        <v>3.8293216630196935E-3</v>
      </c>
      <c r="BE41" s="64">
        <f t="shared" si="13"/>
        <v>5.3454761433379527E-3</v>
      </c>
      <c r="BF41" s="64">
        <f t="shared" si="13"/>
        <v>4.2807254703165487E-3</v>
      </c>
      <c r="BG41" s="64">
        <f t="shared" si="13"/>
        <v>3.0612244897959182E-3</v>
      </c>
      <c r="BH41" s="64">
        <f t="shared" si="13"/>
        <v>3.5160620105481859E-3</v>
      </c>
      <c r="BI41" s="64">
        <f t="shared" si="13"/>
        <v>1.5748031496062992E-3</v>
      </c>
      <c r="BJ41" s="64">
        <f t="shared" si="13"/>
        <v>5.5796652200867944E-3</v>
      </c>
      <c r="BK41" s="64">
        <f t="shared" si="13"/>
        <v>2.0718232044198894E-3</v>
      </c>
      <c r="BL41" s="64">
        <f t="shared" si="13"/>
        <v>3.930316549819418E-3</v>
      </c>
      <c r="BM41" s="64">
        <f t="shared" si="13"/>
        <v>7.6530612244897955E-4</v>
      </c>
      <c r="BN41" s="64">
        <f t="shared" si="13"/>
        <v>4.5634317006388809E-3</v>
      </c>
      <c r="BO41" s="64">
        <f t="shared" ref="BO41:BZ41" si="14">BO15/BO12</f>
        <v>3.7797376417401615E-3</v>
      </c>
      <c r="BP41" s="64">
        <f t="shared" si="14"/>
        <v>4.5001914975105325E-3</v>
      </c>
      <c r="BQ41" s="64">
        <f t="shared" si="14"/>
        <v>3.1607099440797469E-3</v>
      </c>
      <c r="BR41" s="64">
        <f t="shared" si="14"/>
        <v>3.2090841767464825E-3</v>
      </c>
      <c r="BS41" s="64">
        <f t="shared" si="14"/>
        <v>2.4752475247524753E-3</v>
      </c>
      <c r="BT41" s="64">
        <f t="shared" si="14"/>
        <v>2.644336712208021E-3</v>
      </c>
      <c r="BU41" s="64">
        <f t="shared" si="14"/>
        <v>2.6367831245880024E-3</v>
      </c>
      <c r="BV41" s="64">
        <f t="shared" si="14"/>
        <v>1.257071024512885E-3</v>
      </c>
      <c r="BW41" s="64">
        <f t="shared" si="14"/>
        <v>2.1646223011600155E-3</v>
      </c>
      <c r="BX41" s="64">
        <f t="shared" si="14"/>
        <v>1.4374700527072352E-3</v>
      </c>
      <c r="BY41" s="64">
        <f t="shared" si="14"/>
        <v>1.1207621182404036E-3</v>
      </c>
      <c r="BZ41" s="64">
        <f t="shared" si="14"/>
        <v>3.5431675918270933E-3</v>
      </c>
    </row>
    <row r="42" spans="1:80" x14ac:dyDescent="0.2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80" s="32" customFormat="1" x14ac:dyDescent="0.2">
      <c r="A43" s="21"/>
      <c r="B43" s="32" t="s">
        <v>136</v>
      </c>
      <c r="C43" s="15"/>
      <c r="D43" s="15">
        <f t="shared" ref="D43:AI43" si="15">IF(D41&gt;$C41,(D41-$C41)*D12*$C39*$C40,0)</f>
        <v>19376.280368612286</v>
      </c>
      <c r="E43" s="15">
        <f t="shared" si="15"/>
        <v>65734.049533457262</v>
      </c>
      <c r="F43" s="15">
        <f t="shared" si="15"/>
        <v>0</v>
      </c>
      <c r="G43" s="15">
        <f t="shared" si="15"/>
        <v>0</v>
      </c>
      <c r="H43" s="15">
        <f t="shared" si="15"/>
        <v>0</v>
      </c>
      <c r="I43" s="15">
        <f t="shared" si="15"/>
        <v>65402.867432522253</v>
      </c>
      <c r="J43" s="15">
        <f t="shared" si="15"/>
        <v>0</v>
      </c>
      <c r="K43" s="15">
        <f t="shared" si="15"/>
        <v>0</v>
      </c>
      <c r="L43" s="15">
        <f t="shared" si="15"/>
        <v>0</v>
      </c>
      <c r="M43" s="15">
        <f t="shared" si="15"/>
        <v>0</v>
      </c>
      <c r="N43" s="15">
        <f t="shared" si="15"/>
        <v>43984.194166530251</v>
      </c>
      <c r="O43" s="15">
        <f t="shared" si="15"/>
        <v>27101.026105210451</v>
      </c>
      <c r="P43" s="15">
        <f t="shared" si="15"/>
        <v>107800.86856878738</v>
      </c>
      <c r="Q43" s="15">
        <f t="shared" si="15"/>
        <v>0</v>
      </c>
      <c r="R43" s="15">
        <f t="shared" si="15"/>
        <v>0</v>
      </c>
      <c r="S43" s="15">
        <f t="shared" si="15"/>
        <v>0</v>
      </c>
      <c r="T43" s="15">
        <f t="shared" si="15"/>
        <v>0</v>
      </c>
      <c r="U43" s="15">
        <f t="shared" si="15"/>
        <v>0</v>
      </c>
      <c r="V43" s="15">
        <f t="shared" si="15"/>
        <v>0</v>
      </c>
      <c r="W43" s="15">
        <f t="shared" si="15"/>
        <v>0</v>
      </c>
      <c r="X43" s="15">
        <f t="shared" si="15"/>
        <v>39096.727941530487</v>
      </c>
      <c r="Y43" s="15">
        <f t="shared" si="15"/>
        <v>42140.061627940588</v>
      </c>
      <c r="Z43" s="15">
        <f t="shared" si="15"/>
        <v>0</v>
      </c>
      <c r="AA43" s="15">
        <f t="shared" si="15"/>
        <v>0</v>
      </c>
      <c r="AB43" s="15">
        <f t="shared" si="15"/>
        <v>0</v>
      </c>
      <c r="AC43" s="15">
        <f t="shared" si="15"/>
        <v>0</v>
      </c>
      <c r="AD43" s="15">
        <f t="shared" si="15"/>
        <v>0</v>
      </c>
      <c r="AE43" s="15">
        <f t="shared" si="15"/>
        <v>0</v>
      </c>
      <c r="AF43" s="15">
        <f t="shared" si="15"/>
        <v>0</v>
      </c>
      <c r="AG43" s="15">
        <f t="shared" si="15"/>
        <v>13055.509345299428</v>
      </c>
      <c r="AH43" s="15">
        <f t="shared" si="15"/>
        <v>0</v>
      </c>
      <c r="AI43" s="15">
        <f t="shared" si="15"/>
        <v>0</v>
      </c>
      <c r="AJ43" s="15">
        <f t="shared" ref="AJ43:BO43" si="16">IF(AJ41&gt;$C41,(AJ41-$C41)*AJ12*$C39*$C40,0)</f>
        <v>0</v>
      </c>
      <c r="AK43" s="15">
        <f t="shared" si="16"/>
        <v>12814.961338096673</v>
      </c>
      <c r="AL43" s="15">
        <f t="shared" si="16"/>
        <v>0</v>
      </c>
      <c r="AM43" s="15">
        <f t="shared" si="16"/>
        <v>0</v>
      </c>
      <c r="AN43" s="15">
        <f t="shared" si="16"/>
        <v>0</v>
      </c>
      <c r="AO43" s="15">
        <f t="shared" si="16"/>
        <v>0</v>
      </c>
      <c r="AP43" s="15">
        <f t="shared" si="16"/>
        <v>15419.073558724693</v>
      </c>
      <c r="AQ43" s="15">
        <f t="shared" si="16"/>
        <v>0</v>
      </c>
      <c r="AR43" s="15">
        <f t="shared" si="16"/>
        <v>0</v>
      </c>
      <c r="AS43" s="15">
        <f t="shared" si="16"/>
        <v>0</v>
      </c>
      <c r="AT43" s="15">
        <f t="shared" si="16"/>
        <v>0</v>
      </c>
      <c r="AU43" s="15">
        <f t="shared" si="16"/>
        <v>31758.437057651023</v>
      </c>
      <c r="AV43" s="15">
        <f t="shared" si="16"/>
        <v>36827.226550087158</v>
      </c>
      <c r="AW43" s="15">
        <f t="shared" si="16"/>
        <v>9210.3214282275239</v>
      </c>
      <c r="AX43" s="15">
        <f t="shared" si="16"/>
        <v>0</v>
      </c>
      <c r="AY43" s="15">
        <f t="shared" si="16"/>
        <v>55753.310768519681</v>
      </c>
      <c r="AZ43" s="15">
        <f t="shared" si="16"/>
        <v>15534.108080000779</v>
      </c>
      <c r="BA43" s="15">
        <f t="shared" si="16"/>
        <v>0</v>
      </c>
      <c r="BB43" s="15">
        <f t="shared" si="16"/>
        <v>0</v>
      </c>
      <c r="BC43" s="15">
        <f t="shared" si="16"/>
        <v>0</v>
      </c>
      <c r="BD43" s="15">
        <f t="shared" si="16"/>
        <v>23628.83975772516</v>
      </c>
      <c r="BE43" s="15">
        <f t="shared" si="16"/>
        <v>87400.155803137241</v>
      </c>
      <c r="BF43" s="15">
        <f t="shared" si="16"/>
        <v>86023.170276073943</v>
      </c>
      <c r="BG43" s="15">
        <f t="shared" si="16"/>
        <v>1903.426128320928</v>
      </c>
      <c r="BH43" s="15">
        <f t="shared" si="16"/>
        <v>26424.712900461254</v>
      </c>
      <c r="BI43" s="15">
        <f t="shared" si="16"/>
        <v>0</v>
      </c>
      <c r="BJ43" s="15">
        <f t="shared" si="16"/>
        <v>30611.4930331539</v>
      </c>
      <c r="BK43" s="15">
        <f t="shared" si="16"/>
        <v>0</v>
      </c>
      <c r="BL43" s="15">
        <f t="shared" si="16"/>
        <v>67640.945700006763</v>
      </c>
      <c r="BM43" s="15">
        <f t="shared" si="16"/>
        <v>0</v>
      </c>
      <c r="BN43" s="15">
        <f t="shared" si="16"/>
        <v>76994.144575296858</v>
      </c>
      <c r="BO43" s="15">
        <f t="shared" si="16"/>
        <v>82422.055484405253</v>
      </c>
      <c r="BP43" s="15">
        <f t="shared" ref="BP43:BZ43" si="17">IF(BP41&gt;$C41,(BP41-$C41)*BP12*$C39*$C40,0)</f>
        <v>117596.82779805298</v>
      </c>
      <c r="BQ43" s="15">
        <f t="shared" si="17"/>
        <v>6919.944727440803</v>
      </c>
      <c r="BR43" s="15">
        <f t="shared" si="17"/>
        <v>49300.650752535003</v>
      </c>
      <c r="BS43" s="15">
        <f t="shared" si="17"/>
        <v>0</v>
      </c>
      <c r="BT43" s="15">
        <f t="shared" si="17"/>
        <v>0</v>
      </c>
      <c r="BU43" s="15">
        <f t="shared" si="17"/>
        <v>0</v>
      </c>
      <c r="BV43" s="15">
        <f t="shared" si="17"/>
        <v>0</v>
      </c>
      <c r="BW43" s="15">
        <f t="shared" si="17"/>
        <v>0</v>
      </c>
      <c r="BX43" s="15">
        <f t="shared" si="17"/>
        <v>0</v>
      </c>
      <c r="BY43" s="15">
        <f t="shared" si="17"/>
        <v>0</v>
      </c>
      <c r="BZ43" s="15">
        <f t="shared" si="17"/>
        <v>37398.98419821087</v>
      </c>
      <c r="CA43" s="21"/>
      <c r="CB43" s="21"/>
    </row>
    <row r="44" spans="1:80" x14ac:dyDescent="0.2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80" s="32" customFormat="1" x14ac:dyDescent="0.2">
      <c r="A45" s="63" t="s">
        <v>137</v>
      </c>
      <c r="B45" s="61" t="s">
        <v>138</v>
      </c>
      <c r="C45" s="62"/>
      <c r="D45" s="62">
        <f t="shared" ref="D45:J45" si="18">IF(D35+D43&lt;0,0,D35+D43)</f>
        <v>0</v>
      </c>
      <c r="E45" s="62">
        <f t="shared" si="18"/>
        <v>50634.317358432287</v>
      </c>
      <c r="F45" s="62">
        <f t="shared" si="18"/>
        <v>540006.87967845949</v>
      </c>
      <c r="G45" s="62">
        <f t="shared" si="18"/>
        <v>113277.8787519265</v>
      </c>
      <c r="H45" s="62">
        <f t="shared" si="18"/>
        <v>227496.86244778734</v>
      </c>
      <c r="I45" s="62">
        <f t="shared" si="18"/>
        <v>0</v>
      </c>
      <c r="J45" s="62">
        <f t="shared" si="18"/>
        <v>0</v>
      </c>
      <c r="K45" s="62">
        <f t="shared" ref="K45:BT45" si="19">IF(K35+K43&lt;0,0,K35+K43)</f>
        <v>39800.872277977156</v>
      </c>
      <c r="L45" s="62">
        <f t="shared" si="19"/>
        <v>494237.61294974288</v>
      </c>
      <c r="M45" s="62">
        <f t="shared" si="19"/>
        <v>283207.95700198476</v>
      </c>
      <c r="N45" s="62">
        <f t="shared" si="19"/>
        <v>599773.23801038356</v>
      </c>
      <c r="O45" s="62">
        <f t="shared" si="19"/>
        <v>0</v>
      </c>
      <c r="P45" s="62">
        <f t="shared" si="19"/>
        <v>0</v>
      </c>
      <c r="Q45" s="62">
        <f t="shared" si="19"/>
        <v>0</v>
      </c>
      <c r="R45" s="62">
        <f t="shared" si="19"/>
        <v>0</v>
      </c>
      <c r="S45" s="62">
        <f t="shared" si="19"/>
        <v>7508.4196781640348</v>
      </c>
      <c r="T45" s="62">
        <f t="shared" si="19"/>
        <v>0</v>
      </c>
      <c r="U45" s="62">
        <f t="shared" si="19"/>
        <v>138241.3247006743</v>
      </c>
      <c r="V45" s="62">
        <f t="shared" si="19"/>
        <v>0</v>
      </c>
      <c r="W45" s="62">
        <f t="shared" si="19"/>
        <v>79332.827491296848</v>
      </c>
      <c r="X45" s="62">
        <f t="shared" si="19"/>
        <v>297618.92578954686</v>
      </c>
      <c r="Y45" s="62">
        <f t="shared" si="19"/>
        <v>0</v>
      </c>
      <c r="Z45" s="62">
        <f t="shared" si="19"/>
        <v>0</v>
      </c>
      <c r="AA45" s="62">
        <f t="shared" si="19"/>
        <v>0</v>
      </c>
      <c r="AB45" s="62">
        <f t="shared" si="19"/>
        <v>240737.20725734244</v>
      </c>
      <c r="AC45" s="62">
        <f t="shared" si="19"/>
        <v>1000137.0806431328</v>
      </c>
      <c r="AD45" s="62">
        <f t="shared" si="19"/>
        <v>541986.59923883073</v>
      </c>
      <c r="AE45" s="62">
        <f t="shared" si="19"/>
        <v>0</v>
      </c>
      <c r="AF45" s="62">
        <f t="shared" si="19"/>
        <v>543445.1984998862</v>
      </c>
      <c r="AG45" s="62">
        <f t="shared" si="19"/>
        <v>808160.43862942478</v>
      </c>
      <c r="AH45" s="62">
        <f t="shared" si="19"/>
        <v>0</v>
      </c>
      <c r="AI45" s="62">
        <f t="shared" si="19"/>
        <v>641997.32396627893</v>
      </c>
      <c r="AJ45" s="62">
        <f t="shared" si="19"/>
        <v>909469.26458949386</v>
      </c>
      <c r="AK45" s="62">
        <f t="shared" si="19"/>
        <v>381257.5123976387</v>
      </c>
      <c r="AL45" s="62">
        <f t="shared" si="19"/>
        <v>163387.02227194479</v>
      </c>
      <c r="AM45" s="62">
        <f t="shared" si="19"/>
        <v>0</v>
      </c>
      <c r="AN45" s="62">
        <f t="shared" si="19"/>
        <v>40006.811625478913</v>
      </c>
      <c r="AO45" s="62">
        <f t="shared" si="19"/>
        <v>980997.45747622522</v>
      </c>
      <c r="AP45" s="62">
        <f t="shared" si="19"/>
        <v>576163.4534119576</v>
      </c>
      <c r="AQ45" s="62">
        <f t="shared" si="19"/>
        <v>447645.06997210911</v>
      </c>
      <c r="AR45" s="62">
        <f t="shared" si="19"/>
        <v>0</v>
      </c>
      <c r="AS45" s="62">
        <f t="shared" si="19"/>
        <v>0</v>
      </c>
      <c r="AT45" s="62">
        <f t="shared" si="19"/>
        <v>0</v>
      </c>
      <c r="AU45" s="62">
        <f t="shared" si="19"/>
        <v>999425.44445399963</v>
      </c>
      <c r="AV45" s="62">
        <f t="shared" si="19"/>
        <v>799831.58065719716</v>
      </c>
      <c r="AW45" s="62">
        <f t="shared" si="19"/>
        <v>346947.79036371398</v>
      </c>
      <c r="AX45" s="62">
        <f t="shared" si="19"/>
        <v>0</v>
      </c>
      <c r="AY45" s="62">
        <f t="shared" si="19"/>
        <v>670300.73240605101</v>
      </c>
      <c r="AZ45" s="62">
        <f t="shared" si="19"/>
        <v>0</v>
      </c>
      <c r="BA45" s="62">
        <f t="shared" si="19"/>
        <v>0</v>
      </c>
      <c r="BB45" s="62">
        <f t="shared" si="19"/>
        <v>1032184.7963029547</v>
      </c>
      <c r="BC45" s="62">
        <f t="shared" si="19"/>
        <v>388999.6266016725</v>
      </c>
      <c r="BD45" s="62">
        <f t="shared" si="19"/>
        <v>0</v>
      </c>
      <c r="BE45" s="62">
        <f t="shared" si="19"/>
        <v>207885.99445936209</v>
      </c>
      <c r="BF45" s="62">
        <f t="shared" si="19"/>
        <v>20856.440003827556</v>
      </c>
      <c r="BG45" s="62">
        <f t="shared" si="19"/>
        <v>0</v>
      </c>
      <c r="BH45" s="62">
        <f t="shared" ref="BH45" si="20">IF(BH35+BH43&lt;0,0,BH35+BH43)</f>
        <v>1410630.377501758</v>
      </c>
      <c r="BI45" s="62">
        <f t="shared" si="19"/>
        <v>506203.89084986487</v>
      </c>
      <c r="BJ45" s="62">
        <f t="shared" si="19"/>
        <v>593242.8808416418</v>
      </c>
      <c r="BK45" s="62">
        <f t="shared" si="19"/>
        <v>1240625.7849904771</v>
      </c>
      <c r="BL45" s="62">
        <f t="shared" si="19"/>
        <v>2523046.9413559008</v>
      </c>
      <c r="BM45" s="62">
        <f t="shared" si="19"/>
        <v>1041869.9037551258</v>
      </c>
      <c r="BN45" s="62">
        <f t="shared" si="19"/>
        <v>785010.44076356734</v>
      </c>
      <c r="BO45" s="62">
        <f t="shared" si="19"/>
        <v>1806941.9748307161</v>
      </c>
      <c r="BP45" s="62">
        <f t="shared" si="19"/>
        <v>1596557.0202635769</v>
      </c>
      <c r="BQ45" s="62">
        <f t="shared" si="19"/>
        <v>1140448.6812709863</v>
      </c>
      <c r="BR45" s="62">
        <f t="shared" si="19"/>
        <v>0</v>
      </c>
      <c r="BS45" s="62">
        <f t="shared" si="19"/>
        <v>156255.33100429017</v>
      </c>
      <c r="BT45" s="62">
        <f t="shared" si="19"/>
        <v>518982.99231742526</v>
      </c>
      <c r="BU45" s="62">
        <f t="shared" ref="BU45:BZ45" si="21">IF(BU35+BU43&lt;0,0,BU35+BU43)</f>
        <v>535593.89374566183</v>
      </c>
      <c r="BV45" s="62">
        <f t="shared" si="21"/>
        <v>1237204.6553619192</v>
      </c>
      <c r="BW45" s="62">
        <f t="shared" si="21"/>
        <v>0</v>
      </c>
      <c r="BX45" s="62">
        <f t="shared" si="21"/>
        <v>609476.44634252484</v>
      </c>
      <c r="BY45" s="62">
        <f t="shared" si="21"/>
        <v>1481267.3372053406</v>
      </c>
      <c r="BZ45" s="62">
        <f t="shared" si="21"/>
        <v>431933.51470097766</v>
      </c>
      <c r="CA45" s="61"/>
      <c r="CB45" s="61"/>
    </row>
    <row r="46" spans="1:80" x14ac:dyDescent="0.2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80" x14ac:dyDescent="0.2">
      <c r="A47" s="63" t="s">
        <v>143</v>
      </c>
      <c r="B47" s="61" t="s">
        <v>139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7"/>
      <c r="CB47" s="67"/>
    </row>
    <row r="48" spans="1:80" x14ac:dyDescent="0.2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80" x14ac:dyDescent="0.2">
      <c r="B49" s="3" t="s">
        <v>141</v>
      </c>
      <c r="C49" s="5"/>
      <c r="D49" s="66">
        <f>'Ressourcenausgleich Basis'!D144</f>
        <v>1.0921273473498485</v>
      </c>
      <c r="E49" s="66">
        <f>'Ressourcenausgleich Basis'!E144</f>
        <v>0.80449677016816945</v>
      </c>
      <c r="F49" s="66">
        <f>'Ressourcenausgleich Basis'!F144</f>
        <v>0.82543179655721344</v>
      </c>
      <c r="G49" s="66">
        <f>'Ressourcenausgleich Basis'!G144</f>
        <v>0.74084869797126118</v>
      </c>
      <c r="H49" s="66">
        <f>'Ressourcenausgleich Basis'!H144</f>
        <v>1.7406423057632983</v>
      </c>
      <c r="I49" s="66">
        <f>'Ressourcenausgleich Basis'!I144</f>
        <v>1.1241449286963583</v>
      </c>
      <c r="J49" s="66">
        <f>'Ressourcenausgleich Basis'!J144</f>
        <v>1.028587835716062</v>
      </c>
      <c r="K49" s="66">
        <f>'Ressourcenausgleich Basis'!K144</f>
        <v>1.1057621160748954</v>
      </c>
      <c r="L49" s="66">
        <f>'Ressourcenausgleich Basis'!L144</f>
        <v>1.2543748096011462</v>
      </c>
      <c r="M49" s="66">
        <f>'Ressourcenausgleich Basis'!M144</f>
        <v>0.91663536573141036</v>
      </c>
      <c r="N49" s="66">
        <f>'Ressourcenausgleich Basis'!N144</f>
        <v>0.84926245135887035</v>
      </c>
      <c r="O49" s="66">
        <f>'Ressourcenausgleich Basis'!O144</f>
        <v>1.0233261368584079</v>
      </c>
      <c r="P49" s="66">
        <f>'Ressourcenausgleich Basis'!P144</f>
        <v>0.82603532935797619</v>
      </c>
      <c r="Q49" s="66">
        <f>'Ressourcenausgleich Basis'!Q144</f>
        <v>1.2029409745608877</v>
      </c>
      <c r="R49" s="66">
        <f>'Ressourcenausgleich Basis'!R144</f>
        <v>0.89079110398071182</v>
      </c>
      <c r="S49" s="66">
        <f>'Ressourcenausgleich Basis'!S144</f>
        <v>0.87283682211345914</v>
      </c>
      <c r="T49" s="66">
        <f>'Ressourcenausgleich Basis'!T144</f>
        <v>1.1272083368223718</v>
      </c>
      <c r="U49" s="66">
        <f>'Ressourcenausgleich Basis'!U144</f>
        <v>1.1987240686627589</v>
      </c>
      <c r="V49" s="66">
        <f>'Ressourcenausgleich Basis'!V144</f>
        <v>1.7358681939194802</v>
      </c>
      <c r="W49" s="66">
        <f>'Ressourcenausgleich Basis'!W144</f>
        <v>1.061018884570297</v>
      </c>
      <c r="X49" s="66">
        <f>'Ressourcenausgleich Basis'!X144</f>
        <v>1.104383022353717</v>
      </c>
      <c r="Y49" s="66">
        <f>'Ressourcenausgleich Basis'!Y144</f>
        <v>0.98969442071510849</v>
      </c>
      <c r="Z49" s="66">
        <f>'Ressourcenausgleich Basis'!Z144</f>
        <v>0.8636045518565979</v>
      </c>
      <c r="AA49" s="66">
        <f>'Ressourcenausgleich Basis'!AA144</f>
        <v>0.9759699500673934</v>
      </c>
      <c r="AB49" s="66">
        <f>'Ressourcenausgleich Basis'!AB144</f>
        <v>0.8094355853020706</v>
      </c>
      <c r="AC49" s="66">
        <f>'Ressourcenausgleich Basis'!AC144</f>
        <v>0.89369001477633458</v>
      </c>
      <c r="AD49" s="66">
        <f>'Ressourcenausgleich Basis'!AD144</f>
        <v>0.81687426314485434</v>
      </c>
      <c r="AE49" s="66">
        <f>'Ressourcenausgleich Basis'!AE144</f>
        <v>1.1967076620209849</v>
      </c>
      <c r="AF49" s="66">
        <f>'Ressourcenausgleich Basis'!AF144</f>
        <v>0.81750571310945885</v>
      </c>
      <c r="AG49" s="66">
        <f>'Ressourcenausgleich Basis'!AG144</f>
        <v>0.86799667258572011</v>
      </c>
      <c r="AH49" s="66">
        <f>'Ressourcenausgleich Basis'!AH144</f>
        <v>0.94824513200206451</v>
      </c>
      <c r="AI49" s="66">
        <f>'Ressourcenausgleich Basis'!AI144</f>
        <v>0.82200323447680079</v>
      </c>
      <c r="AJ49" s="66">
        <f>'Ressourcenausgleich Basis'!AJ144</f>
        <v>0.73804809687059125</v>
      </c>
      <c r="AK49" s="66">
        <f>'Ressourcenausgleich Basis'!AK144</f>
        <v>0.83405821791691837</v>
      </c>
      <c r="AL49" s="66">
        <f>'Ressourcenausgleich Basis'!AL144</f>
        <v>0.78811988252830489</v>
      </c>
      <c r="AM49" s="66">
        <f>'Ressourcenausgleich Basis'!AM144</f>
        <v>1.0421080339249864</v>
      </c>
      <c r="AN49" s="66">
        <f>'Ressourcenausgleich Basis'!AN144</f>
        <v>0.71394284140573883</v>
      </c>
      <c r="AO49" s="66">
        <f>'Ressourcenausgleich Basis'!AO144</f>
        <v>0.80624106144389329</v>
      </c>
      <c r="AP49" s="66">
        <f>'Ressourcenausgleich Basis'!AP144</f>
        <v>0.79568889425117706</v>
      </c>
      <c r="AQ49" s="66">
        <f>'Ressourcenausgleich Basis'!AQ144</f>
        <v>0.8560914166821989</v>
      </c>
      <c r="AR49" s="66">
        <f>'Ressourcenausgleich Basis'!AR144</f>
        <v>0.93420178533735465</v>
      </c>
      <c r="AS49" s="66">
        <f>'Ressourcenausgleich Basis'!AS144</f>
        <v>1.1313172574136596</v>
      </c>
      <c r="AT49" s="66">
        <f>'Ressourcenausgleich Basis'!AT144</f>
        <v>1.0633742599435572</v>
      </c>
      <c r="AU49" s="66">
        <f>'Ressourcenausgleich Basis'!AU144</f>
        <v>0.71508869166346534</v>
      </c>
      <c r="AV49" s="66">
        <f>'Ressourcenausgleich Basis'!AV144</f>
        <v>0.76827115875613183</v>
      </c>
      <c r="AW49" s="66">
        <f>'Ressourcenausgleich Basis'!AW144</f>
        <v>0.79466206220593227</v>
      </c>
      <c r="AX49" s="66">
        <f>'Ressourcenausgleich Basis'!AX144</f>
        <v>1.026879615235865</v>
      </c>
      <c r="AY49" s="66">
        <f>'Ressourcenausgleich Basis'!AY144</f>
        <v>0.88631215306032463</v>
      </c>
      <c r="AZ49" s="66">
        <f>'Ressourcenausgleich Basis'!AZ144</f>
        <v>1.0461646111631056</v>
      </c>
      <c r="BA49" s="66">
        <f>'Ressourcenausgleich Basis'!BA144</f>
        <v>1.6441212534423546</v>
      </c>
      <c r="BB49" s="66">
        <f>'Ressourcenausgleich Basis'!BB144</f>
        <v>0.92116363225765319</v>
      </c>
      <c r="BC49" s="66">
        <f>'Ressourcenausgleich Basis'!BC144</f>
        <v>0.94226051602666583</v>
      </c>
      <c r="BD49" s="66">
        <f>'Ressourcenausgleich Basis'!BD144</f>
        <v>0.72268752877246534</v>
      </c>
      <c r="BE49" s="66">
        <f>'Ressourcenausgleich Basis'!BE144</f>
        <v>0.74278556085156178</v>
      </c>
      <c r="BF49" s="66">
        <f>'Ressourcenausgleich Basis'!BF144</f>
        <v>0.71368843720716824</v>
      </c>
      <c r="BG49" s="66">
        <f>'Ressourcenausgleich Basis'!BG144</f>
        <v>0.770002148126399</v>
      </c>
      <c r="BH49" s="66">
        <f>'Ressourcenausgleich Basis'!BH144</f>
        <v>0.64082877588375553</v>
      </c>
      <c r="BI49" s="66">
        <f>'Ressourcenausgleich Basis'!BI144</f>
        <v>0.76931510661689473</v>
      </c>
      <c r="BJ49" s="66">
        <f>'Ressourcenausgleich Basis'!BJ144</f>
        <v>0.72709667484145246</v>
      </c>
      <c r="BK49" s="66">
        <f>'Ressourcenausgleich Basis'!BK144</f>
        <v>0.63497087805844654</v>
      </c>
      <c r="BL49" s="66">
        <f>'Ressourcenausgleich Basis'!BL144</f>
        <v>0.82814863069677958</v>
      </c>
      <c r="BM49" s="66">
        <f>'Ressourcenausgleich Basis'!BM144</f>
        <v>0.88042347850978686</v>
      </c>
      <c r="BN49" s="66">
        <f>'Ressourcenausgleich Basis'!BN144</f>
        <v>0.86554846725781054</v>
      </c>
      <c r="BO49" s="66">
        <f>'Ressourcenausgleich Basis'!BO144</f>
        <v>0.83317857596585143</v>
      </c>
      <c r="BP49" s="66">
        <f>'Ressourcenausgleich Basis'!BP144</f>
        <v>0.79828177847977422</v>
      </c>
      <c r="BQ49" s="66">
        <f>'Ressourcenausgleich Basis'!BQ144</f>
        <v>0.73727805822289161</v>
      </c>
      <c r="BR49" s="66">
        <f>'Ressourcenausgleich Basis'!BR144</f>
        <v>1.0635598091078788</v>
      </c>
      <c r="BS49" s="66">
        <f>'Ressourcenausgleich Basis'!BS144</f>
        <v>1.2668070475387214</v>
      </c>
      <c r="BT49" s="66">
        <f>'Ressourcenausgleich Basis'!BT144</f>
        <v>0.99651764285213595</v>
      </c>
      <c r="BU49" s="66">
        <f>'Ressourcenausgleich Basis'!BU144</f>
        <v>0.83430414959245047</v>
      </c>
      <c r="BV49" s="66">
        <f>'Ressourcenausgleich Basis'!BV144</f>
        <v>0.83854988237334227</v>
      </c>
      <c r="BW49" s="66">
        <f>'Ressourcenausgleich Basis'!BW144</f>
        <v>0.98189563623018072</v>
      </c>
      <c r="BX49" s="66">
        <f>'Ressourcenausgleich Basis'!BX144</f>
        <v>0.95702583379129624</v>
      </c>
      <c r="BY49" s="66">
        <f>'Ressourcenausgleich Basis'!BY144</f>
        <v>0.82605404058658627</v>
      </c>
      <c r="BZ49" s="66">
        <f>'Ressourcenausgleich Basis'!BZ144</f>
        <v>1.1321875263527397</v>
      </c>
    </row>
    <row r="50" spans="1:80" x14ac:dyDescent="0.2">
      <c r="C50" s="5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</row>
    <row r="51" spans="1:80" x14ac:dyDescent="0.2">
      <c r="B51" s="3" t="s">
        <v>142</v>
      </c>
      <c r="C51" s="5"/>
      <c r="D51" s="66">
        <f>IF(D49&lt;100%,0%,IF(D49&gt;120%,100%,(-100%+D49)/20*100))</f>
        <v>0.46063673674924255</v>
      </c>
      <c r="E51" s="66">
        <f t="shared" ref="E51:BN51" si="22">IF(E49&lt;100%,0%,IF(E49&gt;120%,100%,(-100%+E49)/20*100))</f>
        <v>0</v>
      </c>
      <c r="F51" s="66">
        <f t="shared" si="22"/>
        <v>0</v>
      </c>
      <c r="G51" s="66">
        <f t="shared" si="22"/>
        <v>0</v>
      </c>
      <c r="H51" s="66">
        <f t="shared" si="22"/>
        <v>1</v>
      </c>
      <c r="I51" s="66">
        <f t="shared" si="22"/>
        <v>0.62072464348179146</v>
      </c>
      <c r="J51" s="66">
        <f t="shared" si="22"/>
        <v>0.14293917858031024</v>
      </c>
      <c r="K51" s="66">
        <f t="shared" si="22"/>
        <v>0.52881058037447692</v>
      </c>
      <c r="L51" s="66">
        <f t="shared" si="22"/>
        <v>1</v>
      </c>
      <c r="M51" s="66">
        <f t="shared" si="22"/>
        <v>0</v>
      </c>
      <c r="N51" s="66">
        <f t="shared" si="22"/>
        <v>0</v>
      </c>
      <c r="O51" s="66">
        <f t="shared" si="22"/>
        <v>0.11663068429203949</v>
      </c>
      <c r="P51" s="66">
        <f t="shared" si="22"/>
        <v>0</v>
      </c>
      <c r="Q51" s="66">
        <f t="shared" si="22"/>
        <v>1</v>
      </c>
      <c r="R51" s="66">
        <f t="shared" si="22"/>
        <v>0</v>
      </c>
      <c r="S51" s="66">
        <f t="shared" si="22"/>
        <v>0</v>
      </c>
      <c r="T51" s="66">
        <f t="shared" si="22"/>
        <v>0.6360416841118588</v>
      </c>
      <c r="U51" s="66">
        <f t="shared" si="22"/>
        <v>0.99362034331379467</v>
      </c>
      <c r="V51" s="66">
        <f t="shared" si="22"/>
        <v>1</v>
      </c>
      <c r="W51" s="66">
        <f t="shared" si="22"/>
        <v>0.30509442285148514</v>
      </c>
      <c r="X51" s="66">
        <f t="shared" si="22"/>
        <v>0.52191511176858496</v>
      </c>
      <c r="Y51" s="66">
        <f t="shared" si="22"/>
        <v>0</v>
      </c>
      <c r="Z51" s="66">
        <f t="shared" si="22"/>
        <v>0</v>
      </c>
      <c r="AA51" s="66">
        <f t="shared" si="22"/>
        <v>0</v>
      </c>
      <c r="AB51" s="66">
        <f t="shared" si="22"/>
        <v>0</v>
      </c>
      <c r="AC51" s="66">
        <f t="shared" si="22"/>
        <v>0</v>
      </c>
      <c r="AD51" s="66">
        <f t="shared" si="22"/>
        <v>0</v>
      </c>
      <c r="AE51" s="66">
        <f t="shared" si="22"/>
        <v>0.98353831010492454</v>
      </c>
      <c r="AF51" s="66">
        <f t="shared" si="22"/>
        <v>0</v>
      </c>
      <c r="AG51" s="66">
        <f t="shared" si="22"/>
        <v>0</v>
      </c>
      <c r="AH51" s="66">
        <f t="shared" si="22"/>
        <v>0</v>
      </c>
      <c r="AI51" s="66">
        <f t="shared" si="22"/>
        <v>0</v>
      </c>
      <c r="AJ51" s="66">
        <f t="shared" si="22"/>
        <v>0</v>
      </c>
      <c r="AK51" s="66">
        <f t="shared" si="22"/>
        <v>0</v>
      </c>
      <c r="AL51" s="66">
        <f t="shared" si="22"/>
        <v>0</v>
      </c>
      <c r="AM51" s="66">
        <f t="shared" si="22"/>
        <v>0.21054016962493205</v>
      </c>
      <c r="AN51" s="66">
        <f t="shared" si="22"/>
        <v>0</v>
      </c>
      <c r="AO51" s="66">
        <f t="shared" si="22"/>
        <v>0</v>
      </c>
      <c r="AP51" s="66">
        <f t="shared" si="22"/>
        <v>0</v>
      </c>
      <c r="AQ51" s="66">
        <f t="shared" si="22"/>
        <v>0</v>
      </c>
      <c r="AR51" s="66">
        <f t="shared" si="22"/>
        <v>0</v>
      </c>
      <c r="AS51" s="66">
        <f t="shared" si="22"/>
        <v>0.65658628706829814</v>
      </c>
      <c r="AT51" s="66">
        <f t="shared" si="22"/>
        <v>0.31687129971778583</v>
      </c>
      <c r="AU51" s="66">
        <f t="shared" si="22"/>
        <v>0</v>
      </c>
      <c r="AV51" s="66">
        <f t="shared" si="22"/>
        <v>0</v>
      </c>
      <c r="AW51" s="66">
        <f t="shared" si="22"/>
        <v>0</v>
      </c>
      <c r="AX51" s="66">
        <f t="shared" si="22"/>
        <v>0.13439807617932509</v>
      </c>
      <c r="AY51" s="66">
        <f t="shared" si="22"/>
        <v>0</v>
      </c>
      <c r="AZ51" s="66">
        <f t="shared" si="22"/>
        <v>0.23082305581552778</v>
      </c>
      <c r="BA51" s="66">
        <f t="shared" si="22"/>
        <v>1</v>
      </c>
      <c r="BB51" s="66">
        <f t="shared" si="22"/>
        <v>0</v>
      </c>
      <c r="BC51" s="66">
        <f t="shared" si="22"/>
        <v>0</v>
      </c>
      <c r="BD51" s="66">
        <f t="shared" si="22"/>
        <v>0</v>
      </c>
      <c r="BE51" s="66">
        <f t="shared" si="22"/>
        <v>0</v>
      </c>
      <c r="BF51" s="66">
        <f t="shared" si="22"/>
        <v>0</v>
      </c>
      <c r="BG51" s="66">
        <f t="shared" si="22"/>
        <v>0</v>
      </c>
      <c r="BH51" s="66">
        <f t="shared" ref="BH51" si="23">IF(BH49&lt;100%,0%,IF(BH49&gt;120%,100%,(-100%+BH49)/20*100))</f>
        <v>0</v>
      </c>
      <c r="BI51" s="66">
        <f t="shared" si="22"/>
        <v>0</v>
      </c>
      <c r="BJ51" s="66">
        <f t="shared" si="22"/>
        <v>0</v>
      </c>
      <c r="BK51" s="66">
        <f t="shared" si="22"/>
        <v>0</v>
      </c>
      <c r="BL51" s="66">
        <f t="shared" si="22"/>
        <v>0</v>
      </c>
      <c r="BM51" s="66">
        <f t="shared" si="22"/>
        <v>0</v>
      </c>
      <c r="BN51" s="66">
        <f t="shared" si="22"/>
        <v>0</v>
      </c>
      <c r="BO51" s="66">
        <f t="shared" ref="BO51:BZ51" si="24">IF(BO49&lt;100%,0%,IF(BO49&gt;120%,100%,(-100%+BO49)/20*100))</f>
        <v>0</v>
      </c>
      <c r="BP51" s="66">
        <f t="shared" si="24"/>
        <v>0</v>
      </c>
      <c r="BQ51" s="66">
        <f t="shared" si="24"/>
        <v>0</v>
      </c>
      <c r="BR51" s="66">
        <f t="shared" si="24"/>
        <v>0.3177990455393942</v>
      </c>
      <c r="BS51" s="66">
        <f t="shared" si="24"/>
        <v>1</v>
      </c>
      <c r="BT51" s="66">
        <f t="shared" si="24"/>
        <v>0</v>
      </c>
      <c r="BU51" s="66">
        <f t="shared" si="24"/>
        <v>0</v>
      </c>
      <c r="BV51" s="66">
        <f t="shared" si="24"/>
        <v>0</v>
      </c>
      <c r="BW51" s="66">
        <f t="shared" si="24"/>
        <v>0</v>
      </c>
      <c r="BX51" s="66">
        <f t="shared" si="24"/>
        <v>0</v>
      </c>
      <c r="BY51" s="66">
        <f t="shared" si="24"/>
        <v>0</v>
      </c>
      <c r="BZ51" s="66">
        <f t="shared" si="24"/>
        <v>0.66093763176369835</v>
      </c>
    </row>
    <row r="52" spans="1:80" s="5" customFormat="1" x14ac:dyDescent="0.2">
      <c r="A52" s="4"/>
      <c r="B52" s="4" t="s">
        <v>146</v>
      </c>
      <c r="D52" s="5">
        <f t="shared" ref="D52:AI52" si="25">D45*-D51</f>
        <v>0</v>
      </c>
      <c r="E52" s="5">
        <f t="shared" si="25"/>
        <v>0</v>
      </c>
      <c r="F52" s="5">
        <f t="shared" si="25"/>
        <v>0</v>
      </c>
      <c r="G52" s="5">
        <f t="shared" si="25"/>
        <v>0</v>
      </c>
      <c r="H52" s="5">
        <f t="shared" si="25"/>
        <v>-227496.86244778734</v>
      </c>
      <c r="I52" s="5">
        <f t="shared" si="25"/>
        <v>0</v>
      </c>
      <c r="J52" s="5">
        <f t="shared" si="25"/>
        <v>0</v>
      </c>
      <c r="K52" s="5">
        <f t="shared" si="25"/>
        <v>-21047.122368727531</v>
      </c>
      <c r="L52" s="5">
        <f t="shared" si="25"/>
        <v>-494237.61294974288</v>
      </c>
      <c r="M52" s="5">
        <f t="shared" si="25"/>
        <v>0</v>
      </c>
      <c r="N52" s="5">
        <f t="shared" si="25"/>
        <v>0</v>
      </c>
      <c r="O52" s="5">
        <f t="shared" si="25"/>
        <v>0</v>
      </c>
      <c r="P52" s="5">
        <f t="shared" si="25"/>
        <v>0</v>
      </c>
      <c r="Q52" s="5">
        <f t="shared" si="25"/>
        <v>0</v>
      </c>
      <c r="R52" s="5">
        <f t="shared" si="25"/>
        <v>0</v>
      </c>
      <c r="S52" s="5">
        <f t="shared" si="25"/>
        <v>0</v>
      </c>
      <c r="T52" s="5">
        <f t="shared" si="25"/>
        <v>0</v>
      </c>
      <c r="U52" s="5">
        <f t="shared" si="25"/>
        <v>-137359.39250923778</v>
      </c>
      <c r="V52" s="5">
        <f t="shared" si="25"/>
        <v>0</v>
      </c>
      <c r="W52" s="5">
        <f t="shared" si="25"/>
        <v>-24204.003216633646</v>
      </c>
      <c r="X52" s="5">
        <f t="shared" si="25"/>
        <v>-155331.81491789754</v>
      </c>
      <c r="Y52" s="5">
        <f t="shared" si="25"/>
        <v>0</v>
      </c>
      <c r="Z52" s="5">
        <f t="shared" si="25"/>
        <v>0</v>
      </c>
      <c r="AA52" s="5">
        <f t="shared" si="25"/>
        <v>0</v>
      </c>
      <c r="AB52" s="5">
        <f t="shared" si="25"/>
        <v>0</v>
      </c>
      <c r="AC52" s="5">
        <f t="shared" si="25"/>
        <v>0</v>
      </c>
      <c r="AD52" s="5">
        <f t="shared" si="25"/>
        <v>0</v>
      </c>
      <c r="AE52" s="5">
        <f t="shared" si="25"/>
        <v>0</v>
      </c>
      <c r="AF52" s="5">
        <f t="shared" si="25"/>
        <v>0</v>
      </c>
      <c r="AG52" s="5">
        <f t="shared" si="25"/>
        <v>0</v>
      </c>
      <c r="AH52" s="5">
        <f t="shared" si="25"/>
        <v>0</v>
      </c>
      <c r="AI52" s="5">
        <f t="shared" si="25"/>
        <v>0</v>
      </c>
      <c r="AJ52" s="5">
        <f t="shared" ref="AJ52:BM52" si="26">AJ45*-AJ51</f>
        <v>0</v>
      </c>
      <c r="AK52" s="5">
        <f t="shared" si="26"/>
        <v>0</v>
      </c>
      <c r="AL52" s="5">
        <f t="shared" si="26"/>
        <v>0</v>
      </c>
      <c r="AM52" s="5">
        <f t="shared" si="26"/>
        <v>0</v>
      </c>
      <c r="AN52" s="5">
        <f t="shared" si="26"/>
        <v>0</v>
      </c>
      <c r="AO52" s="5">
        <f t="shared" si="26"/>
        <v>0</v>
      </c>
      <c r="AP52" s="5">
        <f t="shared" si="26"/>
        <v>0</v>
      </c>
      <c r="AQ52" s="5">
        <f t="shared" si="26"/>
        <v>0</v>
      </c>
      <c r="AR52" s="5">
        <f t="shared" si="26"/>
        <v>0</v>
      </c>
      <c r="AS52" s="5">
        <f t="shared" si="26"/>
        <v>0</v>
      </c>
      <c r="AT52" s="5">
        <f t="shared" si="26"/>
        <v>0</v>
      </c>
      <c r="AU52" s="5">
        <f t="shared" si="26"/>
        <v>0</v>
      </c>
      <c r="AV52" s="5">
        <f t="shared" si="26"/>
        <v>0</v>
      </c>
      <c r="AW52" s="5">
        <f t="shared" si="26"/>
        <v>0</v>
      </c>
      <c r="AX52" s="5">
        <f t="shared" si="26"/>
        <v>0</v>
      </c>
      <c r="AY52" s="5">
        <f t="shared" si="26"/>
        <v>0</v>
      </c>
      <c r="AZ52" s="5">
        <f t="shared" si="26"/>
        <v>0</v>
      </c>
      <c r="BA52" s="5">
        <f t="shared" si="26"/>
        <v>0</v>
      </c>
      <c r="BB52" s="5">
        <f t="shared" si="26"/>
        <v>0</v>
      </c>
      <c r="BC52" s="5">
        <f t="shared" si="26"/>
        <v>0</v>
      </c>
      <c r="BD52" s="5">
        <f t="shared" si="26"/>
        <v>0</v>
      </c>
      <c r="BE52" s="5">
        <f t="shared" si="26"/>
        <v>0</v>
      </c>
      <c r="BF52" s="5">
        <f t="shared" si="26"/>
        <v>0</v>
      </c>
      <c r="BG52" s="5">
        <f t="shared" si="26"/>
        <v>0</v>
      </c>
      <c r="BH52" s="5">
        <f t="shared" ref="BH52" si="27">BH45*-BH51</f>
        <v>0</v>
      </c>
      <c r="BI52" s="5">
        <f t="shared" si="26"/>
        <v>0</v>
      </c>
      <c r="BJ52" s="5">
        <f t="shared" si="26"/>
        <v>0</v>
      </c>
      <c r="BK52" s="5">
        <f t="shared" si="26"/>
        <v>0</v>
      </c>
      <c r="BL52" s="5">
        <f t="shared" si="26"/>
        <v>0</v>
      </c>
      <c r="BM52" s="5">
        <f t="shared" si="26"/>
        <v>0</v>
      </c>
      <c r="BN52" s="5">
        <f t="shared" ref="BN52:BZ52" si="28">BN45*-BN51</f>
        <v>0</v>
      </c>
      <c r="BO52" s="5">
        <f t="shared" si="28"/>
        <v>0</v>
      </c>
      <c r="BP52" s="5">
        <f t="shared" si="28"/>
        <v>0</v>
      </c>
      <c r="BQ52" s="5">
        <f t="shared" si="28"/>
        <v>0</v>
      </c>
      <c r="BR52" s="5">
        <f t="shared" si="28"/>
        <v>0</v>
      </c>
      <c r="BS52" s="5">
        <f t="shared" si="28"/>
        <v>-156255.33100429017</v>
      </c>
      <c r="BT52" s="5">
        <f t="shared" si="28"/>
        <v>0</v>
      </c>
      <c r="BU52" s="5">
        <f t="shared" si="28"/>
        <v>0</v>
      </c>
      <c r="BV52" s="5">
        <f t="shared" si="28"/>
        <v>0</v>
      </c>
      <c r="BW52" s="5">
        <f t="shared" si="28"/>
        <v>0</v>
      </c>
      <c r="BX52" s="5">
        <f t="shared" si="28"/>
        <v>0</v>
      </c>
      <c r="BY52" s="5">
        <f t="shared" si="28"/>
        <v>0</v>
      </c>
      <c r="BZ52" s="5">
        <f t="shared" si="28"/>
        <v>-285481.11428583477</v>
      </c>
      <c r="CA52" s="4"/>
      <c r="CB52" s="4"/>
    </row>
    <row r="53" spans="1:80" x14ac:dyDescent="0.2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80" x14ac:dyDescent="0.2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80" s="57" customFormat="1" ht="15.75" x14ac:dyDescent="0.25">
      <c r="A55" s="69" t="s">
        <v>99</v>
      </c>
      <c r="B55" s="69" t="s">
        <v>144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69"/>
      <c r="CB55" s="69"/>
    </row>
    <row r="56" spans="1:80" x14ac:dyDescent="0.2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80" x14ac:dyDescent="0.2">
      <c r="B57" s="3" t="s">
        <v>127</v>
      </c>
      <c r="C57" s="5">
        <f>SUM(D57:BZ57)</f>
        <v>21089795.099866107</v>
      </c>
      <c r="D57" s="5">
        <f t="shared" ref="D57:AI57" si="29">D35</f>
        <v>-4479370.3680131398</v>
      </c>
      <c r="E57" s="5">
        <f t="shared" si="29"/>
        <v>-15099.732175024978</v>
      </c>
      <c r="F57" s="5">
        <f t="shared" si="29"/>
        <v>540006.87967845949</v>
      </c>
      <c r="G57" s="5">
        <f t="shared" si="29"/>
        <v>113277.8787519265</v>
      </c>
      <c r="H57" s="5">
        <f t="shared" si="29"/>
        <v>227496.86244778734</v>
      </c>
      <c r="I57" s="5">
        <f t="shared" si="29"/>
        <v>-169908.96979250916</v>
      </c>
      <c r="J57" s="5">
        <f t="shared" si="29"/>
        <v>-3282.653757598885</v>
      </c>
      <c r="K57" s="5">
        <f t="shared" si="29"/>
        <v>39800.872277977156</v>
      </c>
      <c r="L57" s="5">
        <f t="shared" si="29"/>
        <v>494237.61294974288</v>
      </c>
      <c r="M57" s="5">
        <f t="shared" si="29"/>
        <v>283207.95700198476</v>
      </c>
      <c r="N57" s="5">
        <f t="shared" si="29"/>
        <v>555789.04384385329</v>
      </c>
      <c r="O57" s="5">
        <f t="shared" si="29"/>
        <v>-540420.99206574121</v>
      </c>
      <c r="P57" s="5">
        <f t="shared" si="29"/>
        <v>-409008.56671688368</v>
      </c>
      <c r="Q57" s="5">
        <f t="shared" si="29"/>
        <v>-177599.03102126741</v>
      </c>
      <c r="R57" s="5">
        <f t="shared" si="29"/>
        <v>-325038.78591611749</v>
      </c>
      <c r="S57" s="5">
        <f t="shared" si="29"/>
        <v>7508.4196781640348</v>
      </c>
      <c r="T57" s="5">
        <f t="shared" si="29"/>
        <v>-192928.81974496672</v>
      </c>
      <c r="U57" s="5">
        <f t="shared" si="29"/>
        <v>138241.3247006743</v>
      </c>
      <c r="V57" s="5">
        <f t="shared" si="29"/>
        <v>-152072.60042577269</v>
      </c>
      <c r="W57" s="5">
        <f t="shared" si="29"/>
        <v>79332.827491296848</v>
      </c>
      <c r="X57" s="5">
        <f t="shared" si="29"/>
        <v>258522.19784801637</v>
      </c>
      <c r="Y57" s="5">
        <f t="shared" si="29"/>
        <v>-164580.50320145537</v>
      </c>
      <c r="Z57" s="5">
        <f t="shared" si="29"/>
        <v>-6241.7622572110722</v>
      </c>
      <c r="AA57" s="5">
        <f t="shared" si="29"/>
        <v>-211086.1988261134</v>
      </c>
      <c r="AB57" s="5">
        <f t="shared" si="29"/>
        <v>240737.20725734244</v>
      </c>
      <c r="AC57" s="5">
        <f t="shared" si="29"/>
        <v>1000137.0806431328</v>
      </c>
      <c r="AD57" s="5">
        <f t="shared" si="29"/>
        <v>541986.59923883073</v>
      </c>
      <c r="AE57" s="5">
        <f t="shared" si="29"/>
        <v>-288541.58137640794</v>
      </c>
      <c r="AF57" s="5">
        <f t="shared" si="29"/>
        <v>543445.1984998862</v>
      </c>
      <c r="AG57" s="5">
        <f t="shared" si="29"/>
        <v>795104.92928412533</v>
      </c>
      <c r="AH57" s="5">
        <f t="shared" si="29"/>
        <v>-24265.488544719454</v>
      </c>
      <c r="AI57" s="5">
        <f t="shared" si="29"/>
        <v>641997.32396627893</v>
      </c>
      <c r="AJ57" s="5">
        <f t="shared" ref="AJ57:BM57" si="30">AJ35</f>
        <v>909469.26458949386</v>
      </c>
      <c r="AK57" s="5">
        <f t="shared" si="30"/>
        <v>368442.55105954205</v>
      </c>
      <c r="AL57" s="5">
        <f t="shared" si="30"/>
        <v>163387.02227194479</v>
      </c>
      <c r="AM57" s="5">
        <f t="shared" si="30"/>
        <v>-359082.85755373474</v>
      </c>
      <c r="AN57" s="5">
        <f t="shared" si="30"/>
        <v>40006.811625478913</v>
      </c>
      <c r="AO57" s="5">
        <f t="shared" si="30"/>
        <v>980997.45747622522</v>
      </c>
      <c r="AP57" s="5">
        <f t="shared" si="30"/>
        <v>560744.37985323288</v>
      </c>
      <c r="AQ57" s="5">
        <f t="shared" si="30"/>
        <v>447645.06997210911</v>
      </c>
      <c r="AR57" s="5">
        <f t="shared" si="30"/>
        <v>-176478.3677928322</v>
      </c>
      <c r="AS57" s="5">
        <f t="shared" si="30"/>
        <v>-108100.93346630789</v>
      </c>
      <c r="AT57" s="5">
        <f t="shared" si="30"/>
        <v>-111971.88001756981</v>
      </c>
      <c r="AU57" s="5">
        <f t="shared" si="30"/>
        <v>967667.00739634864</v>
      </c>
      <c r="AV57" s="5">
        <f t="shared" si="30"/>
        <v>763004.35410711006</v>
      </c>
      <c r="AW57" s="5">
        <f t="shared" si="30"/>
        <v>337737.46893548645</v>
      </c>
      <c r="AX57" s="5">
        <f t="shared" si="30"/>
        <v>-158349.22627427094</v>
      </c>
      <c r="AY57" s="5">
        <f t="shared" si="30"/>
        <v>614547.42163753137</v>
      </c>
      <c r="AZ57" s="5">
        <f t="shared" si="30"/>
        <v>-51672.663073874566</v>
      </c>
      <c r="BA57" s="5">
        <f t="shared" si="30"/>
        <v>-1242330.1033423536</v>
      </c>
      <c r="BB57" s="5">
        <f t="shared" si="30"/>
        <v>1032184.7963029547</v>
      </c>
      <c r="BC57" s="5">
        <f t="shared" si="30"/>
        <v>388999.6266016725</v>
      </c>
      <c r="BD57" s="5">
        <f t="shared" si="30"/>
        <v>-45190.840935933287</v>
      </c>
      <c r="BE57" s="5">
        <f t="shared" si="30"/>
        <v>120485.83865622485</v>
      </c>
      <c r="BF57" s="5">
        <f t="shared" si="30"/>
        <v>-65166.730272246386</v>
      </c>
      <c r="BG57" s="5">
        <f t="shared" si="30"/>
        <v>-62899.371745887191</v>
      </c>
      <c r="BH57" s="5">
        <f t="shared" ref="BH57" si="31">BH35</f>
        <v>1384205.6646012969</v>
      </c>
      <c r="BI57" s="5">
        <f t="shared" si="30"/>
        <v>506203.89084986487</v>
      </c>
      <c r="BJ57" s="5">
        <f t="shared" si="30"/>
        <v>562631.38780848787</v>
      </c>
      <c r="BK57" s="5">
        <f t="shared" si="30"/>
        <v>1240625.7849904771</v>
      </c>
      <c r="BL57" s="5">
        <f t="shared" si="30"/>
        <v>2455405.9956558943</v>
      </c>
      <c r="BM57" s="5">
        <f t="shared" si="30"/>
        <v>1041869.9037551258</v>
      </c>
      <c r="BN57" s="5">
        <f t="shared" ref="BN57:BZ57" si="32">BN35</f>
        <v>708016.29618827044</v>
      </c>
      <c r="BO57" s="5">
        <f t="shared" si="32"/>
        <v>1724519.9193463109</v>
      </c>
      <c r="BP57" s="5">
        <f t="shared" si="32"/>
        <v>1478960.192465524</v>
      </c>
      <c r="BQ57" s="5">
        <f t="shared" si="32"/>
        <v>1133528.7365435455</v>
      </c>
      <c r="BR57" s="5">
        <f t="shared" si="32"/>
        <v>-465790.85361300223</v>
      </c>
      <c r="BS57" s="5">
        <f t="shared" si="32"/>
        <v>156255.33100429017</v>
      </c>
      <c r="BT57" s="5">
        <f t="shared" si="32"/>
        <v>518982.99231742526</v>
      </c>
      <c r="BU57" s="5">
        <f t="shared" si="32"/>
        <v>535593.89374566183</v>
      </c>
      <c r="BV57" s="5">
        <f t="shared" si="32"/>
        <v>1237204.6553619192</v>
      </c>
      <c r="BW57" s="5">
        <f t="shared" si="32"/>
        <v>-269157.26294051076</v>
      </c>
      <c r="BX57" s="5">
        <f t="shared" si="32"/>
        <v>609476.44634252484</v>
      </c>
      <c r="BY57" s="5">
        <f t="shared" si="32"/>
        <v>1481267.3372053406</v>
      </c>
      <c r="BZ57" s="5">
        <f t="shared" si="32"/>
        <v>394534.53050276678</v>
      </c>
    </row>
    <row r="58" spans="1:80" x14ac:dyDescent="0.2">
      <c r="B58" s="3" t="s">
        <v>123</v>
      </c>
      <c r="C58" s="5">
        <f>SUM(D58:BZ58)</f>
        <v>1295274.3750060189</v>
      </c>
      <c r="D58" s="5">
        <f t="shared" ref="D58:AI58" si="33">D43</f>
        <v>19376.280368612286</v>
      </c>
      <c r="E58" s="5">
        <f t="shared" si="33"/>
        <v>65734.049533457262</v>
      </c>
      <c r="F58" s="5">
        <f t="shared" si="33"/>
        <v>0</v>
      </c>
      <c r="G58" s="5">
        <f t="shared" si="33"/>
        <v>0</v>
      </c>
      <c r="H58" s="5">
        <f t="shared" si="33"/>
        <v>0</v>
      </c>
      <c r="I58" s="5">
        <f t="shared" si="33"/>
        <v>65402.867432522253</v>
      </c>
      <c r="J58" s="5">
        <f t="shared" si="33"/>
        <v>0</v>
      </c>
      <c r="K58" s="5">
        <f t="shared" si="33"/>
        <v>0</v>
      </c>
      <c r="L58" s="5">
        <f t="shared" si="33"/>
        <v>0</v>
      </c>
      <c r="M58" s="5">
        <f t="shared" si="33"/>
        <v>0</v>
      </c>
      <c r="N58" s="5">
        <f t="shared" si="33"/>
        <v>43984.194166530251</v>
      </c>
      <c r="O58" s="5">
        <f t="shared" si="33"/>
        <v>27101.026105210451</v>
      </c>
      <c r="P58" s="5">
        <f t="shared" si="33"/>
        <v>107800.86856878738</v>
      </c>
      <c r="Q58" s="5">
        <f t="shared" si="33"/>
        <v>0</v>
      </c>
      <c r="R58" s="5">
        <f t="shared" si="33"/>
        <v>0</v>
      </c>
      <c r="S58" s="5">
        <f t="shared" si="33"/>
        <v>0</v>
      </c>
      <c r="T58" s="5">
        <f t="shared" si="33"/>
        <v>0</v>
      </c>
      <c r="U58" s="5">
        <f t="shared" si="33"/>
        <v>0</v>
      </c>
      <c r="V58" s="5">
        <f t="shared" si="33"/>
        <v>0</v>
      </c>
      <c r="W58" s="5">
        <f t="shared" si="33"/>
        <v>0</v>
      </c>
      <c r="X58" s="5">
        <f t="shared" si="33"/>
        <v>39096.727941530487</v>
      </c>
      <c r="Y58" s="5">
        <f t="shared" si="33"/>
        <v>42140.061627940588</v>
      </c>
      <c r="Z58" s="5">
        <f t="shared" si="33"/>
        <v>0</v>
      </c>
      <c r="AA58" s="5">
        <f t="shared" si="33"/>
        <v>0</v>
      </c>
      <c r="AB58" s="5">
        <f t="shared" si="33"/>
        <v>0</v>
      </c>
      <c r="AC58" s="5">
        <f t="shared" si="33"/>
        <v>0</v>
      </c>
      <c r="AD58" s="5">
        <f t="shared" si="33"/>
        <v>0</v>
      </c>
      <c r="AE58" s="5">
        <f t="shared" si="33"/>
        <v>0</v>
      </c>
      <c r="AF58" s="5">
        <f t="shared" si="33"/>
        <v>0</v>
      </c>
      <c r="AG58" s="5">
        <f t="shared" si="33"/>
        <v>13055.509345299428</v>
      </c>
      <c r="AH58" s="5">
        <f t="shared" si="33"/>
        <v>0</v>
      </c>
      <c r="AI58" s="5">
        <f t="shared" si="33"/>
        <v>0</v>
      </c>
      <c r="AJ58" s="5">
        <f t="shared" ref="AJ58:BM58" si="34">AJ43</f>
        <v>0</v>
      </c>
      <c r="AK58" s="5">
        <f t="shared" si="34"/>
        <v>12814.961338096673</v>
      </c>
      <c r="AL58" s="5">
        <f t="shared" si="34"/>
        <v>0</v>
      </c>
      <c r="AM58" s="5">
        <f t="shared" si="34"/>
        <v>0</v>
      </c>
      <c r="AN58" s="5">
        <f t="shared" si="34"/>
        <v>0</v>
      </c>
      <c r="AO58" s="5">
        <f t="shared" si="34"/>
        <v>0</v>
      </c>
      <c r="AP58" s="5">
        <f t="shared" si="34"/>
        <v>15419.073558724693</v>
      </c>
      <c r="AQ58" s="5">
        <f t="shared" si="34"/>
        <v>0</v>
      </c>
      <c r="AR58" s="5">
        <f t="shared" si="34"/>
        <v>0</v>
      </c>
      <c r="AS58" s="5">
        <f t="shared" si="34"/>
        <v>0</v>
      </c>
      <c r="AT58" s="5">
        <f t="shared" si="34"/>
        <v>0</v>
      </c>
      <c r="AU58" s="5">
        <f t="shared" si="34"/>
        <v>31758.437057651023</v>
      </c>
      <c r="AV58" s="5">
        <f t="shared" si="34"/>
        <v>36827.226550087158</v>
      </c>
      <c r="AW58" s="5">
        <f t="shared" si="34"/>
        <v>9210.3214282275239</v>
      </c>
      <c r="AX58" s="5">
        <f t="shared" si="34"/>
        <v>0</v>
      </c>
      <c r="AY58" s="5">
        <f t="shared" si="34"/>
        <v>55753.310768519681</v>
      </c>
      <c r="AZ58" s="5">
        <f t="shared" si="34"/>
        <v>15534.108080000779</v>
      </c>
      <c r="BA58" s="5">
        <f t="shared" si="34"/>
        <v>0</v>
      </c>
      <c r="BB58" s="5">
        <f t="shared" si="34"/>
        <v>0</v>
      </c>
      <c r="BC58" s="5">
        <f t="shared" si="34"/>
        <v>0</v>
      </c>
      <c r="BD58" s="5">
        <f t="shared" si="34"/>
        <v>23628.83975772516</v>
      </c>
      <c r="BE58" s="5">
        <f t="shared" si="34"/>
        <v>87400.155803137241</v>
      </c>
      <c r="BF58" s="5">
        <f t="shared" si="34"/>
        <v>86023.170276073943</v>
      </c>
      <c r="BG58" s="5">
        <f t="shared" si="34"/>
        <v>1903.426128320928</v>
      </c>
      <c r="BH58" s="5">
        <f t="shared" ref="BH58" si="35">BH43</f>
        <v>26424.712900461254</v>
      </c>
      <c r="BI58" s="5">
        <f t="shared" si="34"/>
        <v>0</v>
      </c>
      <c r="BJ58" s="5">
        <f t="shared" si="34"/>
        <v>30611.4930331539</v>
      </c>
      <c r="BK58" s="5">
        <f t="shared" si="34"/>
        <v>0</v>
      </c>
      <c r="BL58" s="5">
        <f t="shared" si="34"/>
        <v>67640.945700006763</v>
      </c>
      <c r="BM58" s="5">
        <f t="shared" si="34"/>
        <v>0</v>
      </c>
      <c r="BN58" s="5">
        <f t="shared" ref="BN58:BZ58" si="36">BN43</f>
        <v>76994.144575296858</v>
      </c>
      <c r="BO58" s="5">
        <f t="shared" si="36"/>
        <v>82422.055484405253</v>
      </c>
      <c r="BP58" s="5">
        <f t="shared" si="36"/>
        <v>117596.82779805298</v>
      </c>
      <c r="BQ58" s="5">
        <f t="shared" si="36"/>
        <v>6919.944727440803</v>
      </c>
      <c r="BR58" s="5">
        <f t="shared" si="36"/>
        <v>49300.650752535003</v>
      </c>
      <c r="BS58" s="5">
        <f t="shared" si="36"/>
        <v>0</v>
      </c>
      <c r="BT58" s="5">
        <f t="shared" si="36"/>
        <v>0</v>
      </c>
      <c r="BU58" s="5">
        <f t="shared" si="36"/>
        <v>0</v>
      </c>
      <c r="BV58" s="5">
        <f t="shared" si="36"/>
        <v>0</v>
      </c>
      <c r="BW58" s="5">
        <f t="shared" si="36"/>
        <v>0</v>
      </c>
      <c r="BX58" s="5">
        <f t="shared" si="36"/>
        <v>0</v>
      </c>
      <c r="BY58" s="5">
        <f t="shared" si="36"/>
        <v>0</v>
      </c>
      <c r="BZ58" s="5">
        <f t="shared" si="36"/>
        <v>37398.98419821087</v>
      </c>
    </row>
    <row r="59" spans="1:80" x14ac:dyDescent="0.2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80" s="32" customFormat="1" x14ac:dyDescent="0.2">
      <c r="A60" s="21"/>
      <c r="B60" s="32" t="s">
        <v>138</v>
      </c>
      <c r="C60" s="15">
        <f>SUM(D60:BZ60)</f>
        <v>32228252.028466653</v>
      </c>
      <c r="D60" s="15">
        <f t="shared" ref="D60:AI60" si="37">D45</f>
        <v>0</v>
      </c>
      <c r="E60" s="15">
        <f t="shared" si="37"/>
        <v>50634.317358432287</v>
      </c>
      <c r="F60" s="15">
        <f t="shared" si="37"/>
        <v>540006.87967845949</v>
      </c>
      <c r="G60" s="15">
        <f t="shared" si="37"/>
        <v>113277.8787519265</v>
      </c>
      <c r="H60" s="15">
        <f t="shared" si="37"/>
        <v>227496.86244778734</v>
      </c>
      <c r="I60" s="15">
        <f t="shared" si="37"/>
        <v>0</v>
      </c>
      <c r="J60" s="15">
        <f t="shared" si="37"/>
        <v>0</v>
      </c>
      <c r="K60" s="15">
        <f t="shared" si="37"/>
        <v>39800.872277977156</v>
      </c>
      <c r="L60" s="15">
        <f t="shared" si="37"/>
        <v>494237.61294974288</v>
      </c>
      <c r="M60" s="15">
        <f t="shared" si="37"/>
        <v>283207.95700198476</v>
      </c>
      <c r="N60" s="15">
        <f t="shared" si="37"/>
        <v>599773.23801038356</v>
      </c>
      <c r="O60" s="15">
        <f t="shared" si="37"/>
        <v>0</v>
      </c>
      <c r="P60" s="15">
        <f t="shared" si="37"/>
        <v>0</v>
      </c>
      <c r="Q60" s="15">
        <f t="shared" si="37"/>
        <v>0</v>
      </c>
      <c r="R60" s="15">
        <f t="shared" si="37"/>
        <v>0</v>
      </c>
      <c r="S60" s="15">
        <f t="shared" si="37"/>
        <v>7508.4196781640348</v>
      </c>
      <c r="T60" s="15">
        <f t="shared" si="37"/>
        <v>0</v>
      </c>
      <c r="U60" s="15">
        <f t="shared" si="37"/>
        <v>138241.3247006743</v>
      </c>
      <c r="V60" s="15">
        <f t="shared" si="37"/>
        <v>0</v>
      </c>
      <c r="W60" s="15">
        <f t="shared" si="37"/>
        <v>79332.827491296848</v>
      </c>
      <c r="X60" s="15">
        <f t="shared" si="37"/>
        <v>297618.92578954686</v>
      </c>
      <c r="Y60" s="15">
        <f t="shared" si="37"/>
        <v>0</v>
      </c>
      <c r="Z60" s="15">
        <f t="shared" si="37"/>
        <v>0</v>
      </c>
      <c r="AA60" s="15">
        <f t="shared" si="37"/>
        <v>0</v>
      </c>
      <c r="AB60" s="15">
        <f t="shared" si="37"/>
        <v>240737.20725734244</v>
      </c>
      <c r="AC60" s="15">
        <f t="shared" si="37"/>
        <v>1000137.0806431328</v>
      </c>
      <c r="AD60" s="15">
        <f t="shared" si="37"/>
        <v>541986.59923883073</v>
      </c>
      <c r="AE60" s="15">
        <f t="shared" si="37"/>
        <v>0</v>
      </c>
      <c r="AF60" s="15">
        <f t="shared" si="37"/>
        <v>543445.1984998862</v>
      </c>
      <c r="AG60" s="15">
        <f t="shared" si="37"/>
        <v>808160.43862942478</v>
      </c>
      <c r="AH60" s="15">
        <f t="shared" si="37"/>
        <v>0</v>
      </c>
      <c r="AI60" s="15">
        <f t="shared" si="37"/>
        <v>641997.32396627893</v>
      </c>
      <c r="AJ60" s="15">
        <f t="shared" ref="AJ60:BM60" si="38">AJ45</f>
        <v>909469.26458949386</v>
      </c>
      <c r="AK60" s="15">
        <f t="shared" si="38"/>
        <v>381257.5123976387</v>
      </c>
      <c r="AL60" s="15">
        <f t="shared" si="38"/>
        <v>163387.02227194479</v>
      </c>
      <c r="AM60" s="15">
        <f t="shared" si="38"/>
        <v>0</v>
      </c>
      <c r="AN60" s="15">
        <f t="shared" si="38"/>
        <v>40006.811625478913</v>
      </c>
      <c r="AO60" s="15">
        <f t="shared" si="38"/>
        <v>980997.45747622522</v>
      </c>
      <c r="AP60" s="15">
        <f t="shared" si="38"/>
        <v>576163.4534119576</v>
      </c>
      <c r="AQ60" s="15">
        <f t="shared" si="38"/>
        <v>447645.06997210911</v>
      </c>
      <c r="AR60" s="15">
        <f t="shared" si="38"/>
        <v>0</v>
      </c>
      <c r="AS60" s="15">
        <f t="shared" si="38"/>
        <v>0</v>
      </c>
      <c r="AT60" s="15">
        <f t="shared" si="38"/>
        <v>0</v>
      </c>
      <c r="AU60" s="15">
        <f t="shared" si="38"/>
        <v>999425.44445399963</v>
      </c>
      <c r="AV60" s="15">
        <f t="shared" si="38"/>
        <v>799831.58065719716</v>
      </c>
      <c r="AW60" s="15">
        <f t="shared" si="38"/>
        <v>346947.79036371398</v>
      </c>
      <c r="AX60" s="15">
        <f t="shared" si="38"/>
        <v>0</v>
      </c>
      <c r="AY60" s="15">
        <f t="shared" si="38"/>
        <v>670300.73240605101</v>
      </c>
      <c r="AZ60" s="15">
        <f t="shared" si="38"/>
        <v>0</v>
      </c>
      <c r="BA60" s="15">
        <f t="shared" si="38"/>
        <v>0</v>
      </c>
      <c r="BB60" s="15">
        <f t="shared" si="38"/>
        <v>1032184.7963029547</v>
      </c>
      <c r="BC60" s="15">
        <f t="shared" si="38"/>
        <v>388999.6266016725</v>
      </c>
      <c r="BD60" s="15">
        <f t="shared" si="38"/>
        <v>0</v>
      </c>
      <c r="BE60" s="15">
        <f t="shared" si="38"/>
        <v>207885.99445936209</v>
      </c>
      <c r="BF60" s="15">
        <f t="shared" si="38"/>
        <v>20856.440003827556</v>
      </c>
      <c r="BG60" s="15">
        <f t="shared" si="38"/>
        <v>0</v>
      </c>
      <c r="BH60" s="15">
        <f t="shared" ref="BH60" si="39">BH45</f>
        <v>1410630.377501758</v>
      </c>
      <c r="BI60" s="15">
        <f t="shared" si="38"/>
        <v>506203.89084986487</v>
      </c>
      <c r="BJ60" s="15">
        <f t="shared" si="38"/>
        <v>593242.8808416418</v>
      </c>
      <c r="BK60" s="15">
        <f t="shared" si="38"/>
        <v>1240625.7849904771</v>
      </c>
      <c r="BL60" s="15">
        <f t="shared" si="38"/>
        <v>2523046.9413559008</v>
      </c>
      <c r="BM60" s="15">
        <f t="shared" si="38"/>
        <v>1041869.9037551258</v>
      </c>
      <c r="BN60" s="15">
        <f t="shared" ref="BN60:BZ60" si="40">BN45</f>
        <v>785010.44076356734</v>
      </c>
      <c r="BO60" s="15">
        <f t="shared" si="40"/>
        <v>1806941.9748307161</v>
      </c>
      <c r="BP60" s="15">
        <f t="shared" si="40"/>
        <v>1596557.0202635769</v>
      </c>
      <c r="BQ60" s="15">
        <f t="shared" si="40"/>
        <v>1140448.6812709863</v>
      </c>
      <c r="BR60" s="15">
        <f t="shared" si="40"/>
        <v>0</v>
      </c>
      <c r="BS60" s="15">
        <f t="shared" si="40"/>
        <v>156255.33100429017</v>
      </c>
      <c r="BT60" s="15">
        <f t="shared" si="40"/>
        <v>518982.99231742526</v>
      </c>
      <c r="BU60" s="15">
        <f t="shared" si="40"/>
        <v>535593.89374566183</v>
      </c>
      <c r="BV60" s="15">
        <f t="shared" si="40"/>
        <v>1237204.6553619192</v>
      </c>
      <c r="BW60" s="15">
        <f t="shared" si="40"/>
        <v>0</v>
      </c>
      <c r="BX60" s="15">
        <f t="shared" si="40"/>
        <v>609476.44634252484</v>
      </c>
      <c r="BY60" s="15">
        <f t="shared" si="40"/>
        <v>1481267.3372053406</v>
      </c>
      <c r="BZ60" s="15">
        <f t="shared" si="40"/>
        <v>431933.51470097766</v>
      </c>
      <c r="CA60" s="21"/>
      <c r="CB60" s="21"/>
    </row>
    <row r="61" spans="1:80" s="32" customFormat="1" x14ac:dyDescent="0.2">
      <c r="A61" s="21"/>
      <c r="C61" s="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21"/>
      <c r="CB61" s="21"/>
    </row>
    <row r="62" spans="1:80" x14ac:dyDescent="0.2">
      <c r="B62" s="38" t="s">
        <v>139</v>
      </c>
      <c r="C62" s="5">
        <f>SUM(D62:BZ62)</f>
        <v>-1501413.2537001516</v>
      </c>
      <c r="D62" s="5">
        <f>D52</f>
        <v>0</v>
      </c>
      <c r="E62" s="5">
        <f t="shared" ref="E62:BN62" si="41">E52</f>
        <v>0</v>
      </c>
      <c r="F62" s="5">
        <f t="shared" si="41"/>
        <v>0</v>
      </c>
      <c r="G62" s="5">
        <f t="shared" si="41"/>
        <v>0</v>
      </c>
      <c r="H62" s="5">
        <f t="shared" si="41"/>
        <v>-227496.86244778734</v>
      </c>
      <c r="I62" s="5">
        <f t="shared" si="41"/>
        <v>0</v>
      </c>
      <c r="J62" s="5">
        <f t="shared" si="41"/>
        <v>0</v>
      </c>
      <c r="K62" s="5">
        <f t="shared" si="41"/>
        <v>-21047.122368727531</v>
      </c>
      <c r="L62" s="5">
        <f t="shared" si="41"/>
        <v>-494237.61294974288</v>
      </c>
      <c r="M62" s="5">
        <f t="shared" si="41"/>
        <v>0</v>
      </c>
      <c r="N62" s="5">
        <f t="shared" si="41"/>
        <v>0</v>
      </c>
      <c r="O62" s="5">
        <f t="shared" si="41"/>
        <v>0</v>
      </c>
      <c r="P62" s="5">
        <f t="shared" si="41"/>
        <v>0</v>
      </c>
      <c r="Q62" s="5">
        <f t="shared" si="41"/>
        <v>0</v>
      </c>
      <c r="R62" s="5">
        <f t="shared" si="41"/>
        <v>0</v>
      </c>
      <c r="S62" s="5">
        <f t="shared" si="41"/>
        <v>0</v>
      </c>
      <c r="T62" s="5">
        <f t="shared" si="41"/>
        <v>0</v>
      </c>
      <c r="U62" s="5">
        <f t="shared" si="41"/>
        <v>-137359.39250923778</v>
      </c>
      <c r="V62" s="5">
        <f t="shared" si="41"/>
        <v>0</v>
      </c>
      <c r="W62" s="5">
        <f t="shared" si="41"/>
        <v>-24204.003216633646</v>
      </c>
      <c r="X62" s="5">
        <f t="shared" si="41"/>
        <v>-155331.81491789754</v>
      </c>
      <c r="Y62" s="5">
        <f t="shared" si="41"/>
        <v>0</v>
      </c>
      <c r="Z62" s="5">
        <f t="shared" si="41"/>
        <v>0</v>
      </c>
      <c r="AA62" s="5">
        <f t="shared" si="41"/>
        <v>0</v>
      </c>
      <c r="AB62" s="5">
        <f t="shared" si="41"/>
        <v>0</v>
      </c>
      <c r="AC62" s="5">
        <f t="shared" si="41"/>
        <v>0</v>
      </c>
      <c r="AD62" s="5">
        <f t="shared" si="41"/>
        <v>0</v>
      </c>
      <c r="AE62" s="5">
        <f t="shared" si="41"/>
        <v>0</v>
      </c>
      <c r="AF62" s="5">
        <f t="shared" si="41"/>
        <v>0</v>
      </c>
      <c r="AG62" s="5">
        <f t="shared" si="41"/>
        <v>0</v>
      </c>
      <c r="AH62" s="5">
        <f t="shared" si="41"/>
        <v>0</v>
      </c>
      <c r="AI62" s="5">
        <f t="shared" si="41"/>
        <v>0</v>
      </c>
      <c r="AJ62" s="5">
        <f t="shared" si="41"/>
        <v>0</v>
      </c>
      <c r="AK62" s="5">
        <f t="shared" si="41"/>
        <v>0</v>
      </c>
      <c r="AL62" s="5">
        <f t="shared" si="41"/>
        <v>0</v>
      </c>
      <c r="AM62" s="5">
        <f t="shared" si="41"/>
        <v>0</v>
      </c>
      <c r="AN62" s="5">
        <f t="shared" si="41"/>
        <v>0</v>
      </c>
      <c r="AO62" s="5">
        <f t="shared" si="41"/>
        <v>0</v>
      </c>
      <c r="AP62" s="5">
        <f t="shared" si="41"/>
        <v>0</v>
      </c>
      <c r="AQ62" s="5">
        <f t="shared" si="41"/>
        <v>0</v>
      </c>
      <c r="AR62" s="5">
        <f t="shared" si="41"/>
        <v>0</v>
      </c>
      <c r="AS62" s="5">
        <f t="shared" si="41"/>
        <v>0</v>
      </c>
      <c r="AT62" s="5">
        <f t="shared" si="41"/>
        <v>0</v>
      </c>
      <c r="AU62" s="5">
        <f t="shared" si="41"/>
        <v>0</v>
      </c>
      <c r="AV62" s="5">
        <f t="shared" si="41"/>
        <v>0</v>
      </c>
      <c r="AW62" s="5">
        <f t="shared" si="41"/>
        <v>0</v>
      </c>
      <c r="AX62" s="5">
        <f t="shared" si="41"/>
        <v>0</v>
      </c>
      <c r="AY62" s="5">
        <f t="shared" si="41"/>
        <v>0</v>
      </c>
      <c r="AZ62" s="5">
        <f t="shared" si="41"/>
        <v>0</v>
      </c>
      <c r="BA62" s="5">
        <f t="shared" si="41"/>
        <v>0</v>
      </c>
      <c r="BB62" s="5">
        <f t="shared" si="41"/>
        <v>0</v>
      </c>
      <c r="BC62" s="5">
        <f t="shared" si="41"/>
        <v>0</v>
      </c>
      <c r="BD62" s="5">
        <f t="shared" si="41"/>
        <v>0</v>
      </c>
      <c r="BE62" s="5">
        <f t="shared" si="41"/>
        <v>0</v>
      </c>
      <c r="BF62" s="5">
        <f t="shared" si="41"/>
        <v>0</v>
      </c>
      <c r="BG62" s="5">
        <f t="shared" si="41"/>
        <v>0</v>
      </c>
      <c r="BH62" s="5">
        <f t="shared" ref="BH62" si="42">BH52</f>
        <v>0</v>
      </c>
      <c r="BI62" s="5">
        <f t="shared" si="41"/>
        <v>0</v>
      </c>
      <c r="BJ62" s="5">
        <f t="shared" si="41"/>
        <v>0</v>
      </c>
      <c r="BK62" s="5">
        <f t="shared" si="41"/>
        <v>0</v>
      </c>
      <c r="BL62" s="5">
        <f t="shared" si="41"/>
        <v>0</v>
      </c>
      <c r="BM62" s="5">
        <f t="shared" si="41"/>
        <v>0</v>
      </c>
      <c r="BN62" s="5">
        <f t="shared" si="41"/>
        <v>0</v>
      </c>
      <c r="BO62" s="5">
        <f t="shared" ref="BO62:BZ62" si="43">BO52</f>
        <v>0</v>
      </c>
      <c r="BP62" s="5">
        <f t="shared" si="43"/>
        <v>0</v>
      </c>
      <c r="BQ62" s="5">
        <f t="shared" si="43"/>
        <v>0</v>
      </c>
      <c r="BR62" s="5">
        <f t="shared" si="43"/>
        <v>0</v>
      </c>
      <c r="BS62" s="5">
        <f t="shared" si="43"/>
        <v>-156255.33100429017</v>
      </c>
      <c r="BT62" s="5">
        <f t="shared" si="43"/>
        <v>0</v>
      </c>
      <c r="BU62" s="5">
        <f t="shared" si="43"/>
        <v>0</v>
      </c>
      <c r="BV62" s="5">
        <f t="shared" si="43"/>
        <v>0</v>
      </c>
      <c r="BW62" s="5">
        <f t="shared" si="43"/>
        <v>0</v>
      </c>
      <c r="BX62" s="5">
        <f t="shared" si="43"/>
        <v>0</v>
      </c>
      <c r="BY62" s="5">
        <f t="shared" si="43"/>
        <v>0</v>
      </c>
      <c r="BZ62" s="5">
        <f t="shared" si="43"/>
        <v>-285481.11428583477</v>
      </c>
    </row>
    <row r="63" spans="1:80" x14ac:dyDescent="0.2">
      <c r="B63" s="3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80" s="32" customFormat="1" x14ac:dyDescent="0.2">
      <c r="B64" s="147" t="s">
        <v>145</v>
      </c>
      <c r="C64" s="148">
        <f>SUM(D64:BZ64)</f>
        <v>30726800</v>
      </c>
      <c r="D64" s="148">
        <f>ROUND(D60+D62,-2)</f>
        <v>0</v>
      </c>
      <c r="E64" s="148">
        <f t="shared" ref="E64:BN64" si="44">ROUND(E60+E62,-2)</f>
        <v>50600</v>
      </c>
      <c r="F64" s="148">
        <f t="shared" si="44"/>
        <v>540000</v>
      </c>
      <c r="G64" s="148">
        <f t="shared" si="44"/>
        <v>113300</v>
      </c>
      <c r="H64" s="148">
        <f t="shared" si="44"/>
        <v>0</v>
      </c>
      <c r="I64" s="148">
        <f t="shared" si="44"/>
        <v>0</v>
      </c>
      <c r="J64" s="148">
        <f t="shared" si="44"/>
        <v>0</v>
      </c>
      <c r="K64" s="148">
        <f t="shared" si="44"/>
        <v>18800</v>
      </c>
      <c r="L64" s="148">
        <f t="shared" si="44"/>
        <v>0</v>
      </c>
      <c r="M64" s="148">
        <f t="shared" si="44"/>
        <v>283200</v>
      </c>
      <c r="N64" s="148">
        <f t="shared" si="44"/>
        <v>599800</v>
      </c>
      <c r="O64" s="148">
        <f t="shared" si="44"/>
        <v>0</v>
      </c>
      <c r="P64" s="148">
        <f t="shared" si="44"/>
        <v>0</v>
      </c>
      <c r="Q64" s="148">
        <f t="shared" si="44"/>
        <v>0</v>
      </c>
      <c r="R64" s="148">
        <f t="shared" si="44"/>
        <v>0</v>
      </c>
      <c r="S64" s="148">
        <f t="shared" si="44"/>
        <v>7500</v>
      </c>
      <c r="T64" s="148">
        <f t="shared" si="44"/>
        <v>0</v>
      </c>
      <c r="U64" s="148">
        <f t="shared" si="44"/>
        <v>900</v>
      </c>
      <c r="V64" s="148">
        <f t="shared" si="44"/>
        <v>0</v>
      </c>
      <c r="W64" s="148">
        <f t="shared" si="44"/>
        <v>55100</v>
      </c>
      <c r="X64" s="148">
        <f t="shared" si="44"/>
        <v>142300</v>
      </c>
      <c r="Y64" s="148">
        <f t="shared" si="44"/>
        <v>0</v>
      </c>
      <c r="Z64" s="148">
        <f t="shared" si="44"/>
        <v>0</v>
      </c>
      <c r="AA64" s="148">
        <f t="shared" si="44"/>
        <v>0</v>
      </c>
      <c r="AB64" s="148">
        <f t="shared" si="44"/>
        <v>240700</v>
      </c>
      <c r="AC64" s="148">
        <f t="shared" si="44"/>
        <v>1000100</v>
      </c>
      <c r="AD64" s="148">
        <f t="shared" si="44"/>
        <v>542000</v>
      </c>
      <c r="AE64" s="148">
        <f t="shared" si="44"/>
        <v>0</v>
      </c>
      <c r="AF64" s="148">
        <f t="shared" si="44"/>
        <v>543400</v>
      </c>
      <c r="AG64" s="148">
        <f t="shared" si="44"/>
        <v>808200</v>
      </c>
      <c r="AH64" s="148">
        <f t="shared" si="44"/>
        <v>0</v>
      </c>
      <c r="AI64" s="148">
        <f t="shared" si="44"/>
        <v>642000</v>
      </c>
      <c r="AJ64" s="148">
        <f t="shared" si="44"/>
        <v>909500</v>
      </c>
      <c r="AK64" s="148">
        <f t="shared" si="44"/>
        <v>381300</v>
      </c>
      <c r="AL64" s="148">
        <f t="shared" si="44"/>
        <v>163400</v>
      </c>
      <c r="AM64" s="148">
        <f t="shared" si="44"/>
        <v>0</v>
      </c>
      <c r="AN64" s="148">
        <f t="shared" si="44"/>
        <v>40000</v>
      </c>
      <c r="AO64" s="148">
        <f t="shared" si="44"/>
        <v>981000</v>
      </c>
      <c r="AP64" s="148">
        <f t="shared" si="44"/>
        <v>576200</v>
      </c>
      <c r="AQ64" s="148">
        <f t="shared" si="44"/>
        <v>447600</v>
      </c>
      <c r="AR64" s="148">
        <f t="shared" si="44"/>
        <v>0</v>
      </c>
      <c r="AS64" s="148">
        <f t="shared" si="44"/>
        <v>0</v>
      </c>
      <c r="AT64" s="148">
        <f t="shared" si="44"/>
        <v>0</v>
      </c>
      <c r="AU64" s="148">
        <f t="shared" si="44"/>
        <v>999400</v>
      </c>
      <c r="AV64" s="148">
        <f t="shared" si="44"/>
        <v>799800</v>
      </c>
      <c r="AW64" s="148">
        <f t="shared" si="44"/>
        <v>346900</v>
      </c>
      <c r="AX64" s="148">
        <f t="shared" si="44"/>
        <v>0</v>
      </c>
      <c r="AY64" s="148">
        <f t="shared" si="44"/>
        <v>670300</v>
      </c>
      <c r="AZ64" s="148">
        <f t="shared" si="44"/>
        <v>0</v>
      </c>
      <c r="BA64" s="148">
        <f t="shared" si="44"/>
        <v>0</v>
      </c>
      <c r="BB64" s="148">
        <f t="shared" si="44"/>
        <v>1032200</v>
      </c>
      <c r="BC64" s="148">
        <f t="shared" si="44"/>
        <v>389000</v>
      </c>
      <c r="BD64" s="148">
        <f t="shared" si="44"/>
        <v>0</v>
      </c>
      <c r="BE64" s="148">
        <f t="shared" si="44"/>
        <v>207900</v>
      </c>
      <c r="BF64" s="148">
        <f t="shared" si="44"/>
        <v>20900</v>
      </c>
      <c r="BG64" s="148">
        <f t="shared" si="44"/>
        <v>0</v>
      </c>
      <c r="BH64" s="148">
        <f t="shared" ref="BH64" si="45">ROUND(BH60+BH62,-2)</f>
        <v>1410600</v>
      </c>
      <c r="BI64" s="148">
        <f t="shared" si="44"/>
        <v>506200</v>
      </c>
      <c r="BJ64" s="148">
        <f t="shared" si="44"/>
        <v>593200</v>
      </c>
      <c r="BK64" s="148">
        <f t="shared" si="44"/>
        <v>1240600</v>
      </c>
      <c r="BL64" s="148">
        <f t="shared" si="44"/>
        <v>2523000</v>
      </c>
      <c r="BM64" s="148">
        <f t="shared" si="44"/>
        <v>1041900</v>
      </c>
      <c r="BN64" s="148">
        <f t="shared" si="44"/>
        <v>785000</v>
      </c>
      <c r="BO64" s="148">
        <f t="shared" ref="BO64:BZ64" si="46">ROUND(BO60+BO62,-2)</f>
        <v>1806900</v>
      </c>
      <c r="BP64" s="148">
        <f t="shared" si="46"/>
        <v>1596600</v>
      </c>
      <c r="BQ64" s="148">
        <f t="shared" si="46"/>
        <v>1140400</v>
      </c>
      <c r="BR64" s="148">
        <f t="shared" si="46"/>
        <v>0</v>
      </c>
      <c r="BS64" s="148">
        <f t="shared" si="46"/>
        <v>0</v>
      </c>
      <c r="BT64" s="148">
        <f t="shared" si="46"/>
        <v>519000</v>
      </c>
      <c r="BU64" s="148">
        <f t="shared" si="46"/>
        <v>535600</v>
      </c>
      <c r="BV64" s="148">
        <f t="shared" si="46"/>
        <v>1237200</v>
      </c>
      <c r="BW64" s="148">
        <f t="shared" si="46"/>
        <v>0</v>
      </c>
      <c r="BX64" s="148">
        <f t="shared" si="46"/>
        <v>609500</v>
      </c>
      <c r="BY64" s="148">
        <f t="shared" si="46"/>
        <v>1481300</v>
      </c>
      <c r="BZ64" s="148">
        <f t="shared" si="46"/>
        <v>146500</v>
      </c>
    </row>
    <row r="65" spans="3:78" x14ac:dyDescent="0.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3:78" x14ac:dyDescent="0.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3:78" x14ac:dyDescent="0.2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3:78" x14ac:dyDescent="0.2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3:78" x14ac:dyDescent="0.2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3:78" x14ac:dyDescent="0.2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3:78" x14ac:dyDescent="0.2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3:78" x14ac:dyDescent="0.2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3:78" x14ac:dyDescent="0.2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3:78" x14ac:dyDescent="0.2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3:78" x14ac:dyDescent="0.2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3:78" x14ac:dyDescent="0.2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3:78" x14ac:dyDescent="0.2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3:78" x14ac:dyDescent="0.2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3:78" x14ac:dyDescent="0.2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3:78" x14ac:dyDescent="0.2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3:78" x14ac:dyDescent="0.2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3:78" x14ac:dyDescent="0.2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3:78" x14ac:dyDescent="0.2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</sheetData>
  <pageMargins left="0.7" right="0.7" top="0.78740157499999996" bottom="0.78740157499999996" header="0.3" footer="0.3"/>
  <pageSetup paperSize="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CB83"/>
  <sheetViews>
    <sheetView zoomScale="90" zoomScaleNormal="90" workbookViewId="0">
      <pane xSplit="3" ySplit="9" topLeftCell="D10" activePane="bottomRight" state="frozen"/>
      <selection activeCell="B7" sqref="B7:E7"/>
      <selection pane="topRight" activeCell="B7" sqref="B7:E7"/>
      <selection pane="bottomLeft" activeCell="B7" sqref="B7:E7"/>
      <selection pane="bottomRight" activeCell="B7" sqref="B7:E7"/>
    </sheetView>
  </sheetViews>
  <sheetFormatPr baseColWidth="10" defaultRowHeight="12.75" x14ac:dyDescent="0.2"/>
  <cols>
    <col min="1" max="1" width="4" style="3" customWidth="1"/>
    <col min="2" max="2" width="52.42578125" style="3" customWidth="1"/>
    <col min="3" max="78" width="21" style="3" customWidth="1"/>
    <col min="79" max="79" width="2.140625" style="3" customWidth="1"/>
    <col min="80" max="80" width="20.7109375" style="3" bestFit="1" customWidth="1"/>
    <col min="81" max="16384" width="11.42578125" style="38"/>
  </cols>
  <sheetData>
    <row r="1" spans="1:80" x14ac:dyDescent="0.2">
      <c r="A1" s="82" t="s">
        <v>194</v>
      </c>
      <c r="B1"/>
      <c r="C1"/>
    </row>
    <row r="2" spans="1:80" x14ac:dyDescent="0.2">
      <c r="A2" t="s">
        <v>195</v>
      </c>
      <c r="B2"/>
      <c r="C2"/>
    </row>
    <row r="3" spans="1:80" x14ac:dyDescent="0.2">
      <c r="A3"/>
      <c r="B3"/>
      <c r="C3"/>
    </row>
    <row r="4" spans="1:80" x14ac:dyDescent="0.2">
      <c r="A4"/>
      <c r="B4"/>
      <c r="C4"/>
    </row>
    <row r="5" spans="1:80" ht="26.25" x14ac:dyDescent="0.4">
      <c r="A5" s="18" t="s">
        <v>369</v>
      </c>
      <c r="E5" s="154"/>
      <c r="F5" s="38"/>
      <c r="G5" s="38"/>
      <c r="H5" s="38"/>
      <c r="I5" s="38"/>
      <c r="J5" s="38"/>
    </row>
    <row r="6" spans="1:80" x14ac:dyDescent="0.2"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</row>
    <row r="7" spans="1:80" x14ac:dyDescent="0.2">
      <c r="B7" s="20" t="s">
        <v>105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</row>
    <row r="8" spans="1:80" s="32" customFormat="1" x14ac:dyDescent="0.2">
      <c r="A8" s="21"/>
      <c r="B8" s="21"/>
      <c r="C8" s="21" t="s">
        <v>79</v>
      </c>
      <c r="D8" s="21" t="s">
        <v>5</v>
      </c>
      <c r="E8" s="21" t="s">
        <v>6</v>
      </c>
      <c r="F8" s="21" t="s">
        <v>7</v>
      </c>
      <c r="G8" s="21" t="s">
        <v>8</v>
      </c>
      <c r="H8" s="21" t="s">
        <v>9</v>
      </c>
      <c r="I8" s="21" t="s">
        <v>10</v>
      </c>
      <c r="J8" s="21" t="s">
        <v>11</v>
      </c>
      <c r="K8" s="21" t="s">
        <v>12</v>
      </c>
      <c r="L8" s="21" t="s">
        <v>13</v>
      </c>
      <c r="M8" s="21" t="s">
        <v>14</v>
      </c>
      <c r="N8" s="21" t="s">
        <v>15</v>
      </c>
      <c r="O8" s="21" t="s">
        <v>16</v>
      </c>
      <c r="P8" s="21" t="s">
        <v>17</v>
      </c>
      <c r="Q8" s="21" t="s">
        <v>18</v>
      </c>
      <c r="R8" s="21" t="s">
        <v>19</v>
      </c>
      <c r="S8" s="21" t="s">
        <v>20</v>
      </c>
      <c r="T8" s="21" t="s">
        <v>21</v>
      </c>
      <c r="U8" s="21" t="s">
        <v>22</v>
      </c>
      <c r="V8" s="21" t="s">
        <v>23</v>
      </c>
      <c r="W8" s="21" t="s">
        <v>24</v>
      </c>
      <c r="X8" s="21" t="s">
        <v>25</v>
      </c>
      <c r="Y8" s="21" t="s">
        <v>26</v>
      </c>
      <c r="Z8" s="21" t="s">
        <v>27</v>
      </c>
      <c r="AA8" s="21" t="s">
        <v>28</v>
      </c>
      <c r="AB8" s="21" t="s">
        <v>29</v>
      </c>
      <c r="AC8" s="21" t="s">
        <v>30</v>
      </c>
      <c r="AD8" s="21" t="s">
        <v>31</v>
      </c>
      <c r="AE8" s="21" t="s">
        <v>32</v>
      </c>
      <c r="AF8" s="21" t="s">
        <v>33</v>
      </c>
      <c r="AG8" s="21" t="s">
        <v>34</v>
      </c>
      <c r="AH8" s="21" t="s">
        <v>35</v>
      </c>
      <c r="AI8" s="21" t="s">
        <v>36</v>
      </c>
      <c r="AJ8" s="21" t="s">
        <v>37</v>
      </c>
      <c r="AK8" s="21" t="s">
        <v>38</v>
      </c>
      <c r="AL8" s="21" t="s">
        <v>39</v>
      </c>
      <c r="AM8" s="21" t="s">
        <v>40</v>
      </c>
      <c r="AN8" s="21" t="s">
        <v>41</v>
      </c>
      <c r="AO8" s="21" t="s">
        <v>42</v>
      </c>
      <c r="AP8" s="21" t="s">
        <v>43</v>
      </c>
      <c r="AQ8" s="21" t="s">
        <v>44</v>
      </c>
      <c r="AR8" s="21" t="s">
        <v>45</v>
      </c>
      <c r="AS8" s="21" t="s">
        <v>46</v>
      </c>
      <c r="AT8" s="21" t="s">
        <v>47</v>
      </c>
      <c r="AU8" s="21" t="s">
        <v>48</v>
      </c>
      <c r="AV8" s="21" t="s">
        <v>49</v>
      </c>
      <c r="AW8" s="21" t="s">
        <v>50</v>
      </c>
      <c r="AX8" s="21" t="s">
        <v>51</v>
      </c>
      <c r="AY8" s="21" t="s">
        <v>52</v>
      </c>
      <c r="AZ8" s="21" t="s">
        <v>53</v>
      </c>
      <c r="BA8" s="21" t="s">
        <v>54</v>
      </c>
      <c r="BB8" s="21" t="s">
        <v>55</v>
      </c>
      <c r="BC8" s="21" t="s">
        <v>56</v>
      </c>
      <c r="BD8" s="21" t="s">
        <v>57</v>
      </c>
      <c r="BE8" s="21" t="s">
        <v>58</v>
      </c>
      <c r="BF8" s="21" t="s">
        <v>59</v>
      </c>
      <c r="BG8" s="21" t="s">
        <v>60</v>
      </c>
      <c r="BH8" s="183" t="s">
        <v>381</v>
      </c>
      <c r="BI8" s="21" t="s">
        <v>61</v>
      </c>
      <c r="BJ8" s="21" t="s">
        <v>62</v>
      </c>
      <c r="BK8" s="21" t="s">
        <v>63</v>
      </c>
      <c r="BL8" s="21" t="s">
        <v>64</v>
      </c>
      <c r="BM8" s="21" t="s">
        <v>65</v>
      </c>
      <c r="BN8" s="21" t="s">
        <v>66</v>
      </c>
      <c r="BO8" s="21" t="s">
        <v>67</v>
      </c>
      <c r="BP8" s="21" t="s">
        <v>68</v>
      </c>
      <c r="BQ8" s="21" t="s">
        <v>69</v>
      </c>
      <c r="BR8" s="21" t="s">
        <v>70</v>
      </c>
      <c r="BS8" s="21" t="s">
        <v>71</v>
      </c>
      <c r="BT8" s="21" t="s">
        <v>72</v>
      </c>
      <c r="BU8" s="21" t="s">
        <v>73</v>
      </c>
      <c r="BV8" s="21" t="s">
        <v>74</v>
      </c>
      <c r="BW8" s="21" t="s">
        <v>75</v>
      </c>
      <c r="BX8" s="21" t="s">
        <v>76</v>
      </c>
      <c r="BY8" s="21" t="s">
        <v>77</v>
      </c>
      <c r="BZ8" s="21" t="s">
        <v>78</v>
      </c>
      <c r="CA8" s="21"/>
      <c r="CB8" s="21" t="s">
        <v>106</v>
      </c>
    </row>
    <row r="10" spans="1:80" s="56" customFormat="1" ht="15.75" x14ac:dyDescent="0.25">
      <c r="A10" s="22" t="s">
        <v>97</v>
      </c>
      <c r="B10" s="23" t="s">
        <v>117</v>
      </c>
      <c r="C10" s="2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</row>
    <row r="11" spans="1:80" x14ac:dyDescent="0.2">
      <c r="B11" s="24"/>
      <c r="C11" s="24"/>
    </row>
    <row r="12" spans="1:80" x14ac:dyDescent="0.2">
      <c r="A12" s="38"/>
      <c r="B12" s="59" t="str">
        <f>'Ressourcenausgleich Basis'!B124</f>
        <v>Einwohnerzahl per 31.12.</v>
      </c>
      <c r="C12" s="60">
        <f>'Ressourcenausgleich Basis'!C124</f>
        <v>519245</v>
      </c>
      <c r="D12" s="60">
        <f>'Ressourcenausgleich Basis'!D124</f>
        <v>76328</v>
      </c>
      <c r="E12" s="60">
        <f>'Ressourcenausgleich Basis'!E124</f>
        <v>9847</v>
      </c>
      <c r="F12" s="60">
        <f>'Ressourcenausgleich Basis'!F124</f>
        <v>1376</v>
      </c>
      <c r="G12" s="60">
        <f>'Ressourcenausgleich Basis'!G124</f>
        <v>1242</v>
      </c>
      <c r="H12" s="60">
        <f>'Ressourcenausgleich Basis'!H124</f>
        <v>3638</v>
      </c>
      <c r="I12" s="60">
        <f>'Ressourcenausgleich Basis'!I124</f>
        <v>9521</v>
      </c>
      <c r="J12" s="60">
        <f>'Ressourcenausgleich Basis'!J124</f>
        <v>3559</v>
      </c>
      <c r="K12" s="60">
        <f>'Ressourcenausgleich Basis'!K124</f>
        <v>905</v>
      </c>
      <c r="L12" s="60">
        <f>'Ressourcenausgleich Basis'!L124</f>
        <v>1585</v>
      </c>
      <c r="M12" s="60">
        <f>'Ressourcenausgleich Basis'!M124</f>
        <v>1032</v>
      </c>
      <c r="N12" s="60">
        <f>'Ressourcenausgleich Basis'!N124</f>
        <v>2341</v>
      </c>
      <c r="O12" s="60">
        <f>'Ressourcenausgleich Basis'!O124</f>
        <v>7592</v>
      </c>
      <c r="P12" s="60">
        <f>'Ressourcenausgleich Basis'!P124</f>
        <v>9545</v>
      </c>
      <c r="Q12" s="60">
        <f>'Ressourcenausgleich Basis'!Q124</f>
        <v>6769</v>
      </c>
      <c r="R12" s="60">
        <f>'Ressourcenausgleich Basis'!R124</f>
        <v>3461</v>
      </c>
      <c r="S12" s="60">
        <f>'Ressourcenausgleich Basis'!S124</f>
        <v>6087</v>
      </c>
      <c r="T12" s="60">
        <f>'Ressourcenausgleich Basis'!T124</f>
        <v>8044</v>
      </c>
      <c r="U12" s="60">
        <f>'Ressourcenausgleich Basis'!U124</f>
        <v>3971</v>
      </c>
      <c r="V12" s="60">
        <f>'Ressourcenausgleich Basis'!V124</f>
        <v>4995</v>
      </c>
      <c r="W12" s="60">
        <f>'Ressourcenausgleich Basis'!W124</f>
        <v>6731</v>
      </c>
      <c r="X12" s="60">
        <f>'Ressourcenausgleich Basis'!X124</f>
        <v>10095</v>
      </c>
      <c r="Y12" s="60">
        <f>'Ressourcenausgleich Basis'!Y124</f>
        <v>4822</v>
      </c>
      <c r="Z12" s="60">
        <f>'Ressourcenausgleich Basis'!Z124</f>
        <v>2106</v>
      </c>
      <c r="AA12" s="60">
        <f>'Ressourcenausgleich Basis'!AA124</f>
        <v>12046</v>
      </c>
      <c r="AB12" s="60">
        <f>'Ressourcenausgleich Basis'!AB124</f>
        <v>1537</v>
      </c>
      <c r="AC12" s="60">
        <f>'Ressourcenausgleich Basis'!AC124</f>
        <v>9057</v>
      </c>
      <c r="AD12" s="60">
        <f>'Ressourcenausgleich Basis'!AD124</f>
        <v>2447</v>
      </c>
      <c r="AE12" s="60">
        <f>'Ressourcenausgleich Basis'!AE124</f>
        <v>5925</v>
      </c>
      <c r="AF12" s="60">
        <f>'Ressourcenausgleich Basis'!AF124</f>
        <v>3612</v>
      </c>
      <c r="AG12" s="60">
        <f>'Ressourcenausgleich Basis'!AG124</f>
        <v>7238</v>
      </c>
      <c r="AH12" s="60">
        <f>'Ressourcenausgleich Basis'!AH124</f>
        <v>13286</v>
      </c>
      <c r="AI12" s="60">
        <f>'Ressourcenausgleich Basis'!AI124</f>
        <v>5210</v>
      </c>
      <c r="AJ12" s="60">
        <f>'Ressourcenausgleich Basis'!AJ124</f>
        <v>5297</v>
      </c>
      <c r="AK12" s="60">
        <f>'Ressourcenausgleich Basis'!AK124</f>
        <v>6224</v>
      </c>
      <c r="AL12" s="60">
        <f>'Ressourcenausgleich Basis'!AL124</f>
        <v>4954</v>
      </c>
      <c r="AM12" s="60">
        <f>'Ressourcenausgleich Basis'!AM124</f>
        <v>6538</v>
      </c>
      <c r="AN12" s="60">
        <f>'Ressourcenausgleich Basis'!AN124</f>
        <v>1544</v>
      </c>
      <c r="AO12" s="60">
        <f>'Ressourcenausgleich Basis'!AO124</f>
        <v>8991</v>
      </c>
      <c r="AP12" s="60">
        <f>'Ressourcenausgleich Basis'!AP124</f>
        <v>5074</v>
      </c>
      <c r="AQ12" s="60">
        <f>'Ressourcenausgleich Basis'!AQ124</f>
        <v>5801</v>
      </c>
      <c r="AR12" s="60">
        <f>'Ressourcenausgleich Basis'!AR124</f>
        <v>3000</v>
      </c>
      <c r="AS12" s="60">
        <f>'Ressourcenausgleich Basis'!AS124</f>
        <v>1865</v>
      </c>
      <c r="AT12" s="60">
        <f>'Ressourcenausgleich Basis'!AT124</f>
        <v>1802</v>
      </c>
      <c r="AU12" s="60">
        <f>'Ressourcenausgleich Basis'!AU124</f>
        <v>3951</v>
      </c>
      <c r="AV12" s="60">
        <f>'Ressourcenausgleich Basis'!AV124</f>
        <v>3025</v>
      </c>
      <c r="AW12" s="60">
        <f>'Ressourcenausgleich Basis'!AW124</f>
        <v>5029</v>
      </c>
      <c r="AX12" s="60">
        <f>'Ressourcenausgleich Basis'!AX124</f>
        <v>5443</v>
      </c>
      <c r="AY12" s="60">
        <f>'Ressourcenausgleich Basis'!AY124</f>
        <v>6564</v>
      </c>
      <c r="AZ12" s="60">
        <f>'Ressourcenausgleich Basis'!AZ124</f>
        <v>4043</v>
      </c>
      <c r="BA12" s="60">
        <f>'Ressourcenausgleich Basis'!BA124</f>
        <v>27828</v>
      </c>
      <c r="BB12" s="60">
        <f>'Ressourcenausgleich Basis'!BB124</f>
        <v>9836</v>
      </c>
      <c r="BC12" s="60">
        <f>'Ressourcenausgleich Basis'!BC124</f>
        <v>2607</v>
      </c>
      <c r="BD12" s="60">
        <f>'Ressourcenausgleich Basis'!BD124</f>
        <v>3656</v>
      </c>
      <c r="BE12" s="60">
        <f>'Ressourcenausgleich Basis'!BE124</f>
        <v>5051</v>
      </c>
      <c r="BF12" s="60">
        <f>'Ressourcenausgleich Basis'!BF124</f>
        <v>8877</v>
      </c>
      <c r="BG12" s="60">
        <f>'Ressourcenausgleich Basis'!BG124</f>
        <v>1960</v>
      </c>
      <c r="BH12" s="60">
        <f>'Ressourcenausgleich Basis'!BH124</f>
        <v>6257</v>
      </c>
      <c r="BI12" s="60">
        <f>'Ressourcenausgleich Basis'!BI124</f>
        <v>5080</v>
      </c>
      <c r="BJ12" s="60">
        <f>'Ressourcenausgleich Basis'!BJ124</f>
        <v>1613</v>
      </c>
      <c r="BK12" s="60">
        <f>'Ressourcenausgleich Basis'!BK124</f>
        <v>2896</v>
      </c>
      <c r="BL12" s="60">
        <f>'Ressourcenausgleich Basis'!BL124</f>
        <v>9414</v>
      </c>
      <c r="BM12" s="60">
        <f>'Ressourcenausgleich Basis'!BM124</f>
        <v>3920</v>
      </c>
      <c r="BN12" s="60">
        <f>'Ressourcenausgleich Basis'!BN124</f>
        <v>6574</v>
      </c>
      <c r="BO12" s="60">
        <f>'Ressourcenausgleich Basis'!BO124</f>
        <v>13493</v>
      </c>
      <c r="BP12" s="60">
        <f>'Ressourcenausgleich Basis'!BP124</f>
        <v>10444</v>
      </c>
      <c r="BQ12" s="60">
        <f>'Ressourcenausgleich Basis'!BQ124</f>
        <v>4113</v>
      </c>
      <c r="BR12" s="60">
        <f>'Ressourcenausgleich Basis'!BR124</f>
        <v>24306</v>
      </c>
      <c r="BS12" s="60">
        <f>'Ressourcenausgleich Basis'!BS124</f>
        <v>4848</v>
      </c>
      <c r="BT12" s="60">
        <f>'Ressourcenausgleich Basis'!BT124</f>
        <v>4538</v>
      </c>
      <c r="BU12" s="60">
        <f>'Ressourcenausgleich Basis'!BU124</f>
        <v>1517</v>
      </c>
      <c r="BV12" s="60">
        <f>'Ressourcenausgleich Basis'!BV124</f>
        <v>3182</v>
      </c>
      <c r="BW12" s="60">
        <f>'Ressourcenausgleich Basis'!BW124</f>
        <v>18017</v>
      </c>
      <c r="BX12" s="60">
        <f>'Ressourcenausgleich Basis'!BX124</f>
        <v>2087</v>
      </c>
      <c r="BY12" s="60">
        <f>'Ressourcenausgleich Basis'!BY124</f>
        <v>3569</v>
      </c>
      <c r="BZ12" s="60">
        <f>'Ressourcenausgleich Basis'!BZ124</f>
        <v>8467</v>
      </c>
      <c r="CA12" s="38"/>
      <c r="CB12" s="38"/>
    </row>
    <row r="13" spans="1:80" x14ac:dyDescent="0.2">
      <c r="A13" s="38"/>
      <c r="B13" s="3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38"/>
      <c r="CB13" s="38"/>
    </row>
    <row r="14" spans="1:80" x14ac:dyDescent="0.2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80" s="57" customFormat="1" ht="15.75" x14ac:dyDescent="0.25">
      <c r="A15" s="22" t="s">
        <v>98</v>
      </c>
      <c r="B15" s="22" t="s">
        <v>181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22"/>
      <c r="CB15" s="22"/>
    </row>
    <row r="16" spans="1:80" x14ac:dyDescent="0.2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80" s="32" customFormat="1" x14ac:dyDescent="0.2">
      <c r="A17" s="63" t="s">
        <v>128</v>
      </c>
      <c r="B17" s="61" t="s">
        <v>182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1"/>
      <c r="CB17" s="61"/>
    </row>
    <row r="18" spans="1:80" x14ac:dyDescent="0.2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80" x14ac:dyDescent="0.2">
      <c r="B19" s="3" t="s">
        <v>185</v>
      </c>
      <c r="C19" s="10">
        <v>0.6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80" x14ac:dyDescent="0.2">
      <c r="A20" s="38"/>
      <c r="B20" s="38"/>
      <c r="C20" s="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38"/>
      <c r="CB20" s="38"/>
    </row>
    <row r="21" spans="1:80" x14ac:dyDescent="0.2">
      <c r="A21" s="38"/>
      <c r="B21" s="38" t="s">
        <v>204</v>
      </c>
      <c r="C21" s="5">
        <f>SUM(D21:BZ21)</f>
        <v>62536444.559999995</v>
      </c>
      <c r="D21" s="187">
        <v>18461505.359999999</v>
      </c>
      <c r="E21" s="44">
        <v>985456.91</v>
      </c>
      <c r="F21" s="44">
        <v>51414.3</v>
      </c>
      <c r="G21" s="187">
        <v>66782.100000000006</v>
      </c>
      <c r="H21" s="44">
        <v>85405.55</v>
      </c>
      <c r="I21" s="187">
        <v>1177256.32</v>
      </c>
      <c r="J21" s="44">
        <v>317530.43</v>
      </c>
      <c r="K21" s="44">
        <v>2832.15</v>
      </c>
      <c r="L21" s="44">
        <v>130452.97</v>
      </c>
      <c r="M21" s="44">
        <v>59164.6</v>
      </c>
      <c r="N21" s="44">
        <v>154650.68</v>
      </c>
      <c r="O21" s="44">
        <v>1257162</v>
      </c>
      <c r="P21" s="44">
        <v>1999409.28</v>
      </c>
      <c r="Q21" s="44">
        <v>414583.08</v>
      </c>
      <c r="R21" s="44">
        <v>182078.43</v>
      </c>
      <c r="S21" s="187">
        <v>1338025.93</v>
      </c>
      <c r="T21" s="44">
        <v>1104083.99</v>
      </c>
      <c r="U21" s="44">
        <v>160422.29999999999</v>
      </c>
      <c r="V21" s="44">
        <v>517510.67</v>
      </c>
      <c r="W21" s="44">
        <v>490417.78</v>
      </c>
      <c r="X21" s="44">
        <v>1044518.19</v>
      </c>
      <c r="Y21" s="44">
        <v>493797.5</v>
      </c>
      <c r="Z21" s="44">
        <v>28245.7</v>
      </c>
      <c r="AA21" s="44">
        <v>2004423.55</v>
      </c>
      <c r="AB21" s="44">
        <v>72285.34</v>
      </c>
      <c r="AC21" s="44">
        <v>319434.5</v>
      </c>
      <c r="AD21" s="44">
        <v>127885.95</v>
      </c>
      <c r="AE21" s="44">
        <v>178225.24</v>
      </c>
      <c r="AF21" s="44">
        <v>305344.34999999998</v>
      </c>
      <c r="AG21" s="187">
        <v>598765.03</v>
      </c>
      <c r="AH21" s="44">
        <v>1245377.3700000001</v>
      </c>
      <c r="AI21" s="44">
        <v>786541</v>
      </c>
      <c r="AJ21" s="44">
        <v>537823.81999999995</v>
      </c>
      <c r="AK21" s="44">
        <v>378504.62</v>
      </c>
      <c r="AL21" s="44">
        <v>84763.38</v>
      </c>
      <c r="AM21" s="44">
        <v>410327.44</v>
      </c>
      <c r="AN21" s="44">
        <v>77773.600000000006</v>
      </c>
      <c r="AO21" s="44">
        <v>916741.06</v>
      </c>
      <c r="AP21" s="44">
        <v>271358.75</v>
      </c>
      <c r="AQ21" s="44">
        <v>332202.83</v>
      </c>
      <c r="AR21" s="44">
        <v>110351.67999999999</v>
      </c>
      <c r="AS21" s="44">
        <v>36896.800000000003</v>
      </c>
      <c r="AT21" s="44">
        <v>114848</v>
      </c>
      <c r="AU21" s="44">
        <v>328310.76</v>
      </c>
      <c r="AV21" s="44">
        <v>301582.90000000002</v>
      </c>
      <c r="AW21" s="44">
        <v>306965.58</v>
      </c>
      <c r="AX21" s="44">
        <v>241486.7</v>
      </c>
      <c r="AY21" s="44">
        <v>919588.55</v>
      </c>
      <c r="AZ21" s="44">
        <v>375498.07</v>
      </c>
      <c r="BA21" s="44">
        <v>3850617.2</v>
      </c>
      <c r="BB21" s="44">
        <v>976464.47</v>
      </c>
      <c r="BC21" s="44">
        <v>42764.2</v>
      </c>
      <c r="BD21" s="44">
        <v>372848.3</v>
      </c>
      <c r="BE21" s="44">
        <v>737704.25</v>
      </c>
      <c r="BF21" s="44">
        <v>934822.93</v>
      </c>
      <c r="BG21" s="44">
        <v>236768.81</v>
      </c>
      <c r="BH21" s="187">
        <v>878376.21</v>
      </c>
      <c r="BI21" s="44">
        <v>326445.2</v>
      </c>
      <c r="BJ21" s="187">
        <v>174176.5</v>
      </c>
      <c r="BK21" s="44">
        <v>26330.15</v>
      </c>
      <c r="BL21" s="187">
        <v>783687.35</v>
      </c>
      <c r="BM21" s="44">
        <v>193404.16</v>
      </c>
      <c r="BN21" s="187">
        <v>642621.5</v>
      </c>
      <c r="BO21" s="44">
        <v>989289.18</v>
      </c>
      <c r="BP21" s="44">
        <v>1318903.52</v>
      </c>
      <c r="BQ21" s="44">
        <v>537846</v>
      </c>
      <c r="BR21" s="44">
        <v>3800040.45</v>
      </c>
      <c r="BS21" s="44">
        <v>177985.75</v>
      </c>
      <c r="BT21" s="44">
        <v>193610.16</v>
      </c>
      <c r="BU21" s="44">
        <v>20157.25</v>
      </c>
      <c r="BV21" s="44">
        <v>-51064.4</v>
      </c>
      <c r="BW21" s="44">
        <v>1993030</v>
      </c>
      <c r="BX21" s="44">
        <v>37776</v>
      </c>
      <c r="BY21" s="44">
        <v>620962.80000000005</v>
      </c>
      <c r="BZ21" s="44">
        <v>814863.53</v>
      </c>
      <c r="CA21" s="38"/>
      <c r="CB21" s="38" t="s">
        <v>119</v>
      </c>
    </row>
    <row r="22" spans="1:80" x14ac:dyDescent="0.2">
      <c r="A22" s="38"/>
      <c r="B22" s="38" t="s">
        <v>187</v>
      </c>
      <c r="C22" s="5">
        <f t="shared" ref="C22:AH22" si="0">C21/C12</f>
        <v>120.43725902030832</v>
      </c>
      <c r="D22" s="5">
        <f t="shared" si="0"/>
        <v>241.87068127030707</v>
      </c>
      <c r="E22" s="5">
        <f t="shared" si="0"/>
        <v>100.0768670661115</v>
      </c>
      <c r="F22" s="5">
        <f t="shared" si="0"/>
        <v>37.365043604651163</v>
      </c>
      <c r="G22" s="5">
        <f t="shared" si="0"/>
        <v>53.769806763285025</v>
      </c>
      <c r="H22" s="5">
        <f t="shared" si="0"/>
        <v>23.475962067069819</v>
      </c>
      <c r="I22" s="5">
        <f t="shared" si="0"/>
        <v>123.64838987501314</v>
      </c>
      <c r="J22" s="5">
        <f t="shared" si="0"/>
        <v>89.219002528800218</v>
      </c>
      <c r="K22" s="5">
        <f t="shared" si="0"/>
        <v>3.1294475138121549</v>
      </c>
      <c r="L22" s="5">
        <f t="shared" si="0"/>
        <v>82.304712933753947</v>
      </c>
      <c r="M22" s="5">
        <f t="shared" si="0"/>
        <v>57.33003875968992</v>
      </c>
      <c r="N22" s="5">
        <f t="shared" si="0"/>
        <v>66.061802648440832</v>
      </c>
      <c r="O22" s="5">
        <f t="shared" si="0"/>
        <v>165.59035827186511</v>
      </c>
      <c r="P22" s="5">
        <f t="shared" si="0"/>
        <v>209.47189942378208</v>
      </c>
      <c r="Q22" s="5">
        <f t="shared" si="0"/>
        <v>61.247315703944452</v>
      </c>
      <c r="R22" s="5">
        <f t="shared" si="0"/>
        <v>52.608618896272752</v>
      </c>
      <c r="S22" s="5">
        <f t="shared" si="0"/>
        <v>219.81697552160341</v>
      </c>
      <c r="T22" s="5">
        <f t="shared" si="0"/>
        <v>137.25559298856291</v>
      </c>
      <c r="U22" s="5">
        <f t="shared" si="0"/>
        <v>40.398463863006796</v>
      </c>
      <c r="V22" s="5">
        <f t="shared" si="0"/>
        <v>103.60573973973973</v>
      </c>
      <c r="W22" s="5">
        <f t="shared" si="0"/>
        <v>72.859572128955577</v>
      </c>
      <c r="X22" s="5">
        <f t="shared" si="0"/>
        <v>103.4688647845468</v>
      </c>
      <c r="Y22" s="5">
        <f t="shared" si="0"/>
        <v>102.40512235586894</v>
      </c>
      <c r="Z22" s="5">
        <f t="shared" si="0"/>
        <v>13.412013295346629</v>
      </c>
      <c r="AA22" s="5">
        <f t="shared" si="0"/>
        <v>166.39743898389509</v>
      </c>
      <c r="AB22" s="5">
        <f t="shared" si="0"/>
        <v>47.030149642160048</v>
      </c>
      <c r="AC22" s="5">
        <f t="shared" si="0"/>
        <v>35.269349674285081</v>
      </c>
      <c r="AD22" s="5">
        <f t="shared" si="0"/>
        <v>52.262341642827948</v>
      </c>
      <c r="AE22" s="5">
        <f t="shared" si="0"/>
        <v>30.080209282700419</v>
      </c>
      <c r="AF22" s="5">
        <f t="shared" si="0"/>
        <v>84.53608803986711</v>
      </c>
      <c r="AG22" s="5">
        <f t="shared" si="0"/>
        <v>82.725204476374699</v>
      </c>
      <c r="AH22" s="5">
        <f t="shared" si="0"/>
        <v>93.736065783531544</v>
      </c>
      <c r="AI22" s="5">
        <f t="shared" ref="AI22:BL22" si="1">AI21/AI12</f>
        <v>150.9675623800384</v>
      </c>
      <c r="AJ22" s="5">
        <f t="shared" si="1"/>
        <v>101.53366433830469</v>
      </c>
      <c r="AK22" s="5">
        <f t="shared" si="1"/>
        <v>60.813724293059124</v>
      </c>
      <c r="AL22" s="5">
        <f t="shared" si="1"/>
        <v>17.110088817117482</v>
      </c>
      <c r="AM22" s="5">
        <f t="shared" si="1"/>
        <v>62.760391557051086</v>
      </c>
      <c r="AN22" s="5">
        <f t="shared" si="1"/>
        <v>50.371502590673579</v>
      </c>
      <c r="AO22" s="5">
        <f t="shared" si="1"/>
        <v>101.96207985763542</v>
      </c>
      <c r="AP22" s="5">
        <f t="shared" si="1"/>
        <v>53.48024241229799</v>
      </c>
      <c r="AQ22" s="5">
        <f t="shared" si="1"/>
        <v>57.266476469574215</v>
      </c>
      <c r="AR22" s="5">
        <f t="shared" si="1"/>
        <v>36.783893333333332</v>
      </c>
      <c r="AS22" s="5">
        <f t="shared" si="1"/>
        <v>19.783806970509385</v>
      </c>
      <c r="AT22" s="5">
        <f t="shared" si="1"/>
        <v>63.733629300776911</v>
      </c>
      <c r="AU22" s="5">
        <f t="shared" si="1"/>
        <v>83.095611237661359</v>
      </c>
      <c r="AV22" s="5">
        <f t="shared" si="1"/>
        <v>99.696826446280994</v>
      </c>
      <c r="AW22" s="5">
        <f t="shared" si="1"/>
        <v>61.039089282163452</v>
      </c>
      <c r="AX22" s="5">
        <f t="shared" si="1"/>
        <v>44.366470696307182</v>
      </c>
      <c r="AY22" s="5">
        <f t="shared" si="1"/>
        <v>140.09575716026814</v>
      </c>
      <c r="AZ22" s="5">
        <f t="shared" si="1"/>
        <v>92.876099431115506</v>
      </c>
      <c r="BA22" s="5">
        <f t="shared" si="1"/>
        <v>138.3720425470749</v>
      </c>
      <c r="BB22" s="5">
        <f t="shared" si="1"/>
        <v>99.274549613664092</v>
      </c>
      <c r="BC22" s="5">
        <f t="shared" si="1"/>
        <v>16.403605677023396</v>
      </c>
      <c r="BD22" s="5">
        <f t="shared" si="1"/>
        <v>101.98257658643325</v>
      </c>
      <c r="BE22" s="5">
        <f t="shared" si="1"/>
        <v>146.05112848940803</v>
      </c>
      <c r="BF22" s="5">
        <f t="shared" si="1"/>
        <v>105.30842964965642</v>
      </c>
      <c r="BG22" s="5">
        <f t="shared" si="1"/>
        <v>120.80041326530612</v>
      </c>
      <c r="BH22" s="5">
        <f t="shared" ref="BH22" si="2">BH21/BH12</f>
        <v>140.38296467955888</v>
      </c>
      <c r="BI22" s="5">
        <f t="shared" si="1"/>
        <v>64.260866141732279</v>
      </c>
      <c r="BJ22" s="5">
        <f t="shared" si="1"/>
        <v>107.98295102293862</v>
      </c>
      <c r="BK22" s="5">
        <f t="shared" si="1"/>
        <v>9.0919026243093928</v>
      </c>
      <c r="BL22" s="5">
        <f t="shared" si="1"/>
        <v>83.247009772678993</v>
      </c>
      <c r="BM22" s="5">
        <f t="shared" ref="BM22:BZ22" si="3">BM21/BM12</f>
        <v>49.337795918367348</v>
      </c>
      <c r="BN22" s="5">
        <f t="shared" si="3"/>
        <v>97.751977487070278</v>
      </c>
      <c r="BO22" s="5">
        <f t="shared" si="3"/>
        <v>73.318697102201142</v>
      </c>
      <c r="BP22" s="5">
        <f t="shared" si="3"/>
        <v>126.28337035618537</v>
      </c>
      <c r="BQ22" s="5">
        <f t="shared" si="3"/>
        <v>130.76732312180889</v>
      </c>
      <c r="BR22" s="5">
        <f t="shared" si="3"/>
        <v>156.3416625524562</v>
      </c>
      <c r="BS22" s="5">
        <f t="shared" si="3"/>
        <v>36.713232260726073</v>
      </c>
      <c r="BT22" s="5">
        <f t="shared" si="3"/>
        <v>42.66420449537241</v>
      </c>
      <c r="BU22" s="5">
        <f t="shared" si="3"/>
        <v>13.287574159525379</v>
      </c>
      <c r="BV22" s="5">
        <f t="shared" si="3"/>
        <v>-16.04789440603394</v>
      </c>
      <c r="BW22" s="5">
        <f t="shared" si="3"/>
        <v>110.61941499694733</v>
      </c>
      <c r="BX22" s="5">
        <f t="shared" si="3"/>
        <v>18.100622903689505</v>
      </c>
      <c r="BY22" s="5">
        <f t="shared" si="3"/>
        <v>173.98789576912301</v>
      </c>
      <c r="BZ22" s="5">
        <f t="shared" si="3"/>
        <v>96.239935041927481</v>
      </c>
      <c r="CA22" s="38"/>
      <c r="CB22" s="38"/>
    </row>
    <row r="23" spans="1:80" x14ac:dyDescent="0.2">
      <c r="A23" s="38"/>
      <c r="B23" s="38"/>
      <c r="C23" s="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38"/>
      <c r="CB23" s="38"/>
    </row>
    <row r="24" spans="1:80" s="32" customFormat="1" x14ac:dyDescent="0.2">
      <c r="B24" s="32" t="s">
        <v>182</v>
      </c>
      <c r="C24" s="15">
        <f>SUM(D24:BZ24)</f>
        <v>8397159.5244038943</v>
      </c>
      <c r="D24" s="15">
        <f>IF(D22&lt;$C22,0,(D22-$C22)*$C19*D12)</f>
        <v>5561262.1520987423</v>
      </c>
      <c r="E24" s="15">
        <f t="shared" ref="E24:BN24" si="4">IF(E22&lt;$C22,0,(E22-$C22)*$C19*E12)</f>
        <v>0</v>
      </c>
      <c r="F24" s="15">
        <f t="shared" si="4"/>
        <v>0</v>
      </c>
      <c r="G24" s="15">
        <f t="shared" si="4"/>
        <v>0</v>
      </c>
      <c r="H24" s="15">
        <f t="shared" si="4"/>
        <v>0</v>
      </c>
      <c r="I24" s="15">
        <f t="shared" si="4"/>
        <v>18343.906120586751</v>
      </c>
      <c r="J24" s="15">
        <f t="shared" si="4"/>
        <v>0</v>
      </c>
      <c r="K24" s="15">
        <f t="shared" si="4"/>
        <v>0</v>
      </c>
      <c r="L24" s="15">
        <f t="shared" si="4"/>
        <v>0</v>
      </c>
      <c r="M24" s="15">
        <f t="shared" si="4"/>
        <v>0</v>
      </c>
      <c r="N24" s="15">
        <f t="shared" si="4"/>
        <v>0</v>
      </c>
      <c r="O24" s="15">
        <f t="shared" si="4"/>
        <v>205681.39771069153</v>
      </c>
      <c r="P24" s="15">
        <f t="shared" si="4"/>
        <v>509901.3855906942</v>
      </c>
      <c r="Q24" s="15">
        <f t="shared" si="4"/>
        <v>0</v>
      </c>
      <c r="R24" s="15">
        <f t="shared" si="4"/>
        <v>0</v>
      </c>
      <c r="S24" s="15">
        <f t="shared" si="4"/>
        <v>362954.60060602991</v>
      </c>
      <c r="T24" s="15">
        <f t="shared" si="4"/>
        <v>81172.007064383957</v>
      </c>
      <c r="U24" s="15">
        <f t="shared" si="4"/>
        <v>0</v>
      </c>
      <c r="V24" s="15">
        <f t="shared" si="4"/>
        <v>0</v>
      </c>
      <c r="W24" s="15">
        <f t="shared" si="4"/>
        <v>0</v>
      </c>
      <c r="X24" s="15">
        <f t="shared" si="4"/>
        <v>0</v>
      </c>
      <c r="Y24" s="15">
        <f t="shared" si="4"/>
        <v>0</v>
      </c>
      <c r="Z24" s="15">
        <f t="shared" si="4"/>
        <v>0</v>
      </c>
      <c r="AA24" s="15">
        <f t="shared" si="4"/>
        <v>332181.79670481972</v>
      </c>
      <c r="AB24" s="15">
        <f t="shared" si="4"/>
        <v>0</v>
      </c>
      <c r="AC24" s="15">
        <f t="shared" si="4"/>
        <v>0</v>
      </c>
      <c r="AD24" s="15">
        <f t="shared" si="4"/>
        <v>0</v>
      </c>
      <c r="AE24" s="15">
        <f t="shared" si="4"/>
        <v>0</v>
      </c>
      <c r="AF24" s="15">
        <f t="shared" si="4"/>
        <v>0</v>
      </c>
      <c r="AG24" s="15">
        <f t="shared" si="4"/>
        <v>0</v>
      </c>
      <c r="AH24" s="15">
        <f t="shared" si="4"/>
        <v>0</v>
      </c>
      <c r="AI24" s="15">
        <f t="shared" si="4"/>
        <v>95437.728302516247</v>
      </c>
      <c r="AJ24" s="15">
        <f t="shared" si="4"/>
        <v>0</v>
      </c>
      <c r="AK24" s="15">
        <f t="shared" si="4"/>
        <v>0</v>
      </c>
      <c r="AL24" s="15">
        <f t="shared" si="4"/>
        <v>0</v>
      </c>
      <c r="AM24" s="15">
        <f t="shared" si="4"/>
        <v>0</v>
      </c>
      <c r="AN24" s="15">
        <f t="shared" si="4"/>
        <v>0</v>
      </c>
      <c r="AO24" s="15">
        <f t="shared" si="4"/>
        <v>0</v>
      </c>
      <c r="AP24" s="15">
        <f t="shared" si="4"/>
        <v>0</v>
      </c>
      <c r="AQ24" s="15">
        <f t="shared" si="4"/>
        <v>0</v>
      </c>
      <c r="AR24" s="15">
        <f t="shared" si="4"/>
        <v>0</v>
      </c>
      <c r="AS24" s="15">
        <f t="shared" si="4"/>
        <v>0</v>
      </c>
      <c r="AT24" s="15">
        <f t="shared" si="4"/>
        <v>0</v>
      </c>
      <c r="AU24" s="15">
        <f t="shared" si="4"/>
        <v>0</v>
      </c>
      <c r="AV24" s="15">
        <f t="shared" si="4"/>
        <v>0</v>
      </c>
      <c r="AW24" s="15">
        <f t="shared" si="4"/>
        <v>0</v>
      </c>
      <c r="AX24" s="15">
        <f t="shared" si="4"/>
        <v>0</v>
      </c>
      <c r="AY24" s="15">
        <f t="shared" si="4"/>
        <v>77423.029074417747</v>
      </c>
      <c r="AZ24" s="15">
        <f t="shared" si="4"/>
        <v>0</v>
      </c>
      <c r="BA24" s="15">
        <f t="shared" si="4"/>
        <v>299453.49358971621</v>
      </c>
      <c r="BB24" s="15">
        <f t="shared" si="4"/>
        <v>0</v>
      </c>
      <c r="BC24" s="15">
        <f t="shared" si="4"/>
        <v>0</v>
      </c>
      <c r="BD24" s="15">
        <f t="shared" si="4"/>
        <v>0</v>
      </c>
      <c r="BE24" s="15">
        <f t="shared" si="4"/>
        <v>77625.392813053579</v>
      </c>
      <c r="BF24" s="15">
        <f t="shared" si="4"/>
        <v>0</v>
      </c>
      <c r="BG24" s="15">
        <f t="shared" si="4"/>
        <v>427.06939211741434</v>
      </c>
      <c r="BH24" s="15">
        <f t="shared" ref="BH24" si="5">IF(BH22&lt;$C22,0,(BH22-$C22)*$C19*BH12)</f>
        <v>74880.168185958464</v>
      </c>
      <c r="BI24" s="15">
        <f t="shared" si="4"/>
        <v>0</v>
      </c>
      <c r="BJ24" s="15">
        <f t="shared" si="4"/>
        <v>0</v>
      </c>
      <c r="BK24" s="15">
        <f t="shared" si="4"/>
        <v>0</v>
      </c>
      <c r="BL24" s="15">
        <f t="shared" si="4"/>
        <v>0</v>
      </c>
      <c r="BM24" s="15">
        <f t="shared" si="4"/>
        <v>0</v>
      </c>
      <c r="BN24" s="15">
        <f t="shared" si="4"/>
        <v>0</v>
      </c>
      <c r="BO24" s="15">
        <f t="shared" ref="BO24:BZ24" si="6">IF(BO22&lt;$C22,0,(BO22-$C22)*$C19*BO12)</f>
        <v>0</v>
      </c>
      <c r="BP24" s="15">
        <f t="shared" si="6"/>
        <v>36634.072075139979</v>
      </c>
      <c r="BQ24" s="15">
        <f t="shared" si="6"/>
        <v>25492.532189683101</v>
      </c>
      <c r="BR24" s="15">
        <f t="shared" si="6"/>
        <v>523615.45935143187</v>
      </c>
      <c r="BS24" s="15">
        <f t="shared" si="6"/>
        <v>0</v>
      </c>
      <c r="BT24" s="15">
        <f t="shared" si="6"/>
        <v>0</v>
      </c>
      <c r="BU24" s="15">
        <f t="shared" si="6"/>
        <v>0</v>
      </c>
      <c r="BV24" s="15">
        <f t="shared" si="6"/>
        <v>0</v>
      </c>
      <c r="BW24" s="15">
        <f t="shared" si="6"/>
        <v>0</v>
      </c>
      <c r="BX24" s="15">
        <f t="shared" si="6"/>
        <v>0</v>
      </c>
      <c r="BY24" s="15">
        <f t="shared" si="6"/>
        <v>114673.33353391179</v>
      </c>
      <c r="BZ24" s="15">
        <f t="shared" si="6"/>
        <v>0</v>
      </c>
    </row>
    <row r="25" spans="1:80" x14ac:dyDescent="0.2">
      <c r="A25" s="38"/>
      <c r="B25" s="38"/>
      <c r="C25" s="6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38"/>
      <c r="CB25" s="38"/>
    </row>
    <row r="26" spans="1:80" x14ac:dyDescent="0.2">
      <c r="C26" s="5"/>
      <c r="D26" s="5"/>
      <c r="E26" s="6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80" s="32" customFormat="1" x14ac:dyDescent="0.2">
      <c r="A27" s="63" t="s">
        <v>129</v>
      </c>
      <c r="B27" s="61" t="s">
        <v>183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1"/>
      <c r="CB27" s="61"/>
    </row>
    <row r="28" spans="1:80" x14ac:dyDescent="0.2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80" x14ac:dyDescent="0.2">
      <c r="B29" s="3" t="s">
        <v>185</v>
      </c>
      <c r="C29" s="10">
        <v>0.6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80" s="32" customFormat="1" x14ac:dyDescent="0.2">
      <c r="A30" s="21"/>
      <c r="B30" s="3" t="s">
        <v>186</v>
      </c>
      <c r="C30" s="75">
        <v>0.2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21"/>
      <c r="CB30" s="21"/>
    </row>
    <row r="31" spans="1:80" s="32" customFormat="1" x14ac:dyDescent="0.2">
      <c r="A31" s="21"/>
      <c r="B31" s="3"/>
      <c r="C31" s="76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21"/>
      <c r="CB31" s="21"/>
    </row>
    <row r="32" spans="1:80" s="30" customFormat="1" x14ac:dyDescent="0.2">
      <c r="A32" s="33"/>
      <c r="B32" s="30" t="s">
        <v>191</v>
      </c>
      <c r="C32" s="36">
        <f>SUM(D32:BZ32)</f>
        <v>71893966.659999996</v>
      </c>
      <c r="D32" s="44">
        <v>26990068</v>
      </c>
      <c r="E32" s="44">
        <v>1799304.92</v>
      </c>
      <c r="F32" s="44">
        <v>16385.3</v>
      </c>
      <c r="G32" s="44">
        <v>78425.11</v>
      </c>
      <c r="H32" s="44">
        <v>39364.35</v>
      </c>
      <c r="I32" s="44">
        <v>803290.08</v>
      </c>
      <c r="J32" s="44">
        <v>303103.7</v>
      </c>
      <c r="K32" s="187">
        <v>9080.9500000000007</v>
      </c>
      <c r="L32" s="187">
        <v>53491.199999999997</v>
      </c>
      <c r="M32" s="44">
        <v>87741.7</v>
      </c>
      <c r="N32" s="44">
        <v>-24.3</v>
      </c>
      <c r="O32" s="44">
        <v>800850</v>
      </c>
      <c r="P32" s="44">
        <v>2232091.08</v>
      </c>
      <c r="Q32" s="44">
        <v>417324.66</v>
      </c>
      <c r="R32" s="44">
        <v>609997.79</v>
      </c>
      <c r="S32" s="44">
        <v>501497</v>
      </c>
      <c r="T32" s="44">
        <v>1521049.17</v>
      </c>
      <c r="U32" s="44">
        <v>500604.53</v>
      </c>
      <c r="V32" s="44">
        <v>79241.600000000006</v>
      </c>
      <c r="W32" s="44">
        <v>280071.09000000003</v>
      </c>
      <c r="X32" s="44">
        <v>507908.36</v>
      </c>
      <c r="Y32" s="44">
        <v>458705.5</v>
      </c>
      <c r="Z32" s="44">
        <v>89935.75</v>
      </c>
      <c r="AA32" s="44">
        <v>683788.89</v>
      </c>
      <c r="AB32" s="44">
        <v>55910.62</v>
      </c>
      <c r="AC32" s="44">
        <v>-311319.17</v>
      </c>
      <c r="AD32" s="44">
        <v>181500.15</v>
      </c>
      <c r="AE32" s="44">
        <v>308150.84999999998</v>
      </c>
      <c r="AF32" s="44">
        <v>96498.6</v>
      </c>
      <c r="AG32" s="44">
        <v>425249.38</v>
      </c>
      <c r="AH32" s="44">
        <v>1256526.04</v>
      </c>
      <c r="AI32" s="44">
        <v>667482</v>
      </c>
      <c r="AJ32" s="44">
        <v>575595.44999999995</v>
      </c>
      <c r="AK32" s="44">
        <v>483767.88</v>
      </c>
      <c r="AL32" s="44">
        <v>271116.5</v>
      </c>
      <c r="AM32" s="44">
        <v>406358</v>
      </c>
      <c r="AN32" s="44">
        <v>78679.75</v>
      </c>
      <c r="AO32" s="44">
        <v>585671.15</v>
      </c>
      <c r="AP32" s="44">
        <v>197987.45</v>
      </c>
      <c r="AQ32" s="44">
        <v>42918.43</v>
      </c>
      <c r="AR32" s="44">
        <v>83513.149999999994</v>
      </c>
      <c r="AS32" s="44">
        <v>23422.2</v>
      </c>
      <c r="AT32" s="44">
        <v>133112</v>
      </c>
      <c r="AU32" s="44">
        <v>432910.41</v>
      </c>
      <c r="AV32" s="44">
        <v>233493.75</v>
      </c>
      <c r="AW32" s="44">
        <v>774202.8</v>
      </c>
      <c r="AX32" s="44">
        <v>326509.13</v>
      </c>
      <c r="AY32" s="44">
        <v>1031291.05</v>
      </c>
      <c r="AZ32" s="44">
        <v>501966.65</v>
      </c>
      <c r="BA32" s="44">
        <v>3852522.5</v>
      </c>
      <c r="BB32" s="44">
        <v>722170.72</v>
      </c>
      <c r="BC32" s="44">
        <v>140886.54999999999</v>
      </c>
      <c r="BD32" s="44">
        <v>126389.7</v>
      </c>
      <c r="BE32" s="44">
        <v>673718.33</v>
      </c>
      <c r="BF32" s="44">
        <v>1903755.8</v>
      </c>
      <c r="BG32" s="44">
        <v>146168.95000000001</v>
      </c>
      <c r="BH32" s="187">
        <v>580228.23</v>
      </c>
      <c r="BI32" s="44">
        <v>742802.75</v>
      </c>
      <c r="BJ32" s="187">
        <v>87178.3</v>
      </c>
      <c r="BK32" s="44">
        <v>94550.45</v>
      </c>
      <c r="BL32" s="44">
        <v>2189503.2000000002</v>
      </c>
      <c r="BM32" s="44">
        <v>156626.65</v>
      </c>
      <c r="BN32" s="44">
        <v>-147746.48000000001</v>
      </c>
      <c r="BO32" s="44">
        <v>1676706.59</v>
      </c>
      <c r="BP32" s="44">
        <v>2027651.39</v>
      </c>
      <c r="BQ32" s="44">
        <v>405359.8</v>
      </c>
      <c r="BR32" s="44">
        <v>5810301.6500000004</v>
      </c>
      <c r="BS32" s="44">
        <v>277767.55</v>
      </c>
      <c r="BT32" s="44">
        <v>51994.55</v>
      </c>
      <c r="BU32" s="44">
        <v>125343.5</v>
      </c>
      <c r="BV32" s="44">
        <v>179721.15</v>
      </c>
      <c r="BW32" s="44">
        <v>1008438</v>
      </c>
      <c r="BX32" s="44">
        <v>120303.57</v>
      </c>
      <c r="BY32" s="44">
        <v>341296.78</v>
      </c>
      <c r="BZ32" s="44">
        <v>874515.83</v>
      </c>
      <c r="CA32" s="33"/>
      <c r="CB32" s="33" t="s">
        <v>119</v>
      </c>
    </row>
    <row r="33" spans="1:80" s="30" customFormat="1" x14ac:dyDescent="0.2">
      <c r="A33" s="33"/>
      <c r="B33" s="30" t="s">
        <v>188</v>
      </c>
      <c r="C33" s="36">
        <f t="shared" ref="C33:AH33" si="7">C32/C12</f>
        <v>138.45865951525772</v>
      </c>
      <c r="D33" s="36">
        <f t="shared" si="7"/>
        <v>353.60638297872339</v>
      </c>
      <c r="E33" s="36">
        <f t="shared" si="7"/>
        <v>182.72620290443788</v>
      </c>
      <c r="F33" s="36">
        <f t="shared" si="7"/>
        <v>11.907921511627906</v>
      </c>
      <c r="G33" s="36">
        <f t="shared" si="7"/>
        <v>63.144210950080513</v>
      </c>
      <c r="H33" s="36">
        <f t="shared" si="7"/>
        <v>10.820327102803738</v>
      </c>
      <c r="I33" s="36">
        <f t="shared" si="7"/>
        <v>84.370347652557498</v>
      </c>
      <c r="J33" s="36">
        <f t="shared" si="7"/>
        <v>85.165411632481039</v>
      </c>
      <c r="K33" s="36">
        <f t="shared" si="7"/>
        <v>10.034198895027625</v>
      </c>
      <c r="L33" s="36">
        <f t="shared" si="7"/>
        <v>33.74839116719243</v>
      </c>
      <c r="M33" s="36">
        <f t="shared" si="7"/>
        <v>85.021027131782944</v>
      </c>
      <c r="N33" s="36">
        <f t="shared" si="7"/>
        <v>-1.038017941050833E-2</v>
      </c>
      <c r="O33" s="36">
        <f t="shared" si="7"/>
        <v>105.48603793466808</v>
      </c>
      <c r="P33" s="36">
        <f t="shared" si="7"/>
        <v>233.84924882137244</v>
      </c>
      <c r="Q33" s="36">
        <f t="shared" si="7"/>
        <v>61.652335647806169</v>
      </c>
      <c r="R33" s="36">
        <f t="shared" si="7"/>
        <v>176.24900028893384</v>
      </c>
      <c r="S33" s="36">
        <f t="shared" si="7"/>
        <v>82.38820436996879</v>
      </c>
      <c r="T33" s="36">
        <f t="shared" si="7"/>
        <v>189.09114495275981</v>
      </c>
      <c r="U33" s="36">
        <f t="shared" si="7"/>
        <v>126.06510450768069</v>
      </c>
      <c r="V33" s="36">
        <f t="shared" si="7"/>
        <v>15.864184184184186</v>
      </c>
      <c r="W33" s="36">
        <f t="shared" si="7"/>
        <v>41.609135343931072</v>
      </c>
      <c r="X33" s="36">
        <f t="shared" si="7"/>
        <v>50.312863793957405</v>
      </c>
      <c r="Y33" s="36">
        <f t="shared" si="7"/>
        <v>95.127644131065949</v>
      </c>
      <c r="Z33" s="36">
        <f t="shared" si="7"/>
        <v>42.704534662867999</v>
      </c>
      <c r="AA33" s="36">
        <f t="shared" si="7"/>
        <v>56.764809065249878</v>
      </c>
      <c r="AB33" s="36">
        <f t="shared" si="7"/>
        <v>36.376460637605724</v>
      </c>
      <c r="AC33" s="36">
        <f t="shared" si="7"/>
        <v>-34.373321188031355</v>
      </c>
      <c r="AD33" s="36">
        <f t="shared" si="7"/>
        <v>74.172517368205959</v>
      </c>
      <c r="AE33" s="36">
        <f t="shared" si="7"/>
        <v>52.008582278481008</v>
      </c>
      <c r="AF33" s="36">
        <f t="shared" si="7"/>
        <v>26.716112956810633</v>
      </c>
      <c r="AG33" s="36">
        <f t="shared" si="7"/>
        <v>58.75233213594916</v>
      </c>
      <c r="AH33" s="36">
        <f t="shared" si="7"/>
        <v>94.575194942044263</v>
      </c>
      <c r="AI33" s="36">
        <f t="shared" ref="AI33:BL33" si="8">AI32/AI12</f>
        <v>128.11554702495201</v>
      </c>
      <c r="AJ33" s="36">
        <f t="shared" si="8"/>
        <v>108.66442325844817</v>
      </c>
      <c r="AK33" s="36">
        <f t="shared" si="8"/>
        <v>77.726201799485864</v>
      </c>
      <c r="AL33" s="36">
        <f t="shared" si="8"/>
        <v>54.726786435203877</v>
      </c>
      <c r="AM33" s="36">
        <f t="shared" si="8"/>
        <v>62.153257877026611</v>
      </c>
      <c r="AN33" s="36">
        <f t="shared" si="8"/>
        <v>50.958387305699482</v>
      </c>
      <c r="AO33" s="36">
        <f t="shared" si="8"/>
        <v>65.139711934156381</v>
      </c>
      <c r="AP33" s="36">
        <f t="shared" si="8"/>
        <v>39.019994087504926</v>
      </c>
      <c r="AQ33" s="36">
        <f t="shared" si="8"/>
        <v>7.3984537148767453</v>
      </c>
      <c r="AR33" s="36">
        <f t="shared" si="8"/>
        <v>27.837716666666665</v>
      </c>
      <c r="AS33" s="36">
        <f t="shared" si="8"/>
        <v>12.55882037533512</v>
      </c>
      <c r="AT33" s="36">
        <f t="shared" si="8"/>
        <v>73.86903440621532</v>
      </c>
      <c r="AU33" s="36">
        <f t="shared" si="8"/>
        <v>109.56983295368261</v>
      </c>
      <c r="AV33" s="36">
        <f t="shared" si="8"/>
        <v>77.188016528925615</v>
      </c>
      <c r="AW33" s="36">
        <f t="shared" si="8"/>
        <v>153.94766355140189</v>
      </c>
      <c r="AX33" s="36">
        <f t="shared" si="8"/>
        <v>59.986979606834467</v>
      </c>
      <c r="AY33" s="36">
        <f t="shared" si="8"/>
        <v>157.11320079219988</v>
      </c>
      <c r="AZ33" s="36">
        <f t="shared" si="8"/>
        <v>124.15697501855058</v>
      </c>
      <c r="BA33" s="36">
        <f t="shared" si="8"/>
        <v>138.44050955871785</v>
      </c>
      <c r="BB33" s="36">
        <f t="shared" si="8"/>
        <v>73.421179341195611</v>
      </c>
      <c r="BC33" s="36">
        <f t="shared" si="8"/>
        <v>54.041637897967007</v>
      </c>
      <c r="BD33" s="36">
        <f t="shared" si="8"/>
        <v>34.570486870897156</v>
      </c>
      <c r="BE33" s="36">
        <f t="shared" si="8"/>
        <v>133.38315779053653</v>
      </c>
      <c r="BF33" s="36">
        <f t="shared" si="8"/>
        <v>214.45936690323308</v>
      </c>
      <c r="BG33" s="36">
        <f t="shared" si="8"/>
        <v>74.575994897959191</v>
      </c>
      <c r="BH33" s="36">
        <f t="shared" ref="BH33" si="9">BH32/BH12</f>
        <v>92.732656225027966</v>
      </c>
      <c r="BI33" s="36">
        <f t="shared" si="8"/>
        <v>146.22101377952757</v>
      </c>
      <c r="BJ33" s="36">
        <f t="shared" si="8"/>
        <v>54.047303161810291</v>
      </c>
      <c r="BK33" s="36">
        <f t="shared" si="8"/>
        <v>32.648636049723756</v>
      </c>
      <c r="BL33" s="36">
        <f t="shared" si="8"/>
        <v>232.57947737412366</v>
      </c>
      <c r="BM33" s="36">
        <f t="shared" ref="BM33:BZ33" si="10">BM32/BM12</f>
        <v>39.955778061224485</v>
      </c>
      <c r="BN33" s="36">
        <f t="shared" si="10"/>
        <v>-22.474365682993614</v>
      </c>
      <c r="BO33" s="36">
        <f t="shared" si="10"/>
        <v>124.26492181130958</v>
      </c>
      <c r="BP33" s="36">
        <f t="shared" si="10"/>
        <v>194.14509670624281</v>
      </c>
      <c r="BQ33" s="36">
        <f t="shared" si="10"/>
        <v>98.555750060782884</v>
      </c>
      <c r="BR33" s="36">
        <f t="shared" si="10"/>
        <v>239.04803957870487</v>
      </c>
      <c r="BS33" s="36">
        <f t="shared" si="10"/>
        <v>57.295286716171617</v>
      </c>
      <c r="BT33" s="36">
        <f t="shared" si="10"/>
        <v>11.457591449977965</v>
      </c>
      <c r="BU33" s="36">
        <f t="shared" si="10"/>
        <v>82.625906394199077</v>
      </c>
      <c r="BV33" s="36">
        <f t="shared" si="10"/>
        <v>56.480562539283468</v>
      </c>
      <c r="BW33" s="36">
        <f t="shared" si="10"/>
        <v>55.97147138813343</v>
      </c>
      <c r="BX33" s="36">
        <f t="shared" si="10"/>
        <v>57.644259702922859</v>
      </c>
      <c r="BY33" s="36">
        <f t="shared" si="10"/>
        <v>95.628125525357248</v>
      </c>
      <c r="BZ33" s="36">
        <f t="shared" si="10"/>
        <v>103.28520491319239</v>
      </c>
      <c r="CA33" s="33"/>
      <c r="CB33" s="33"/>
    </row>
    <row r="34" spans="1:80" s="32" customFormat="1" x14ac:dyDescent="0.2">
      <c r="A34" s="2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21"/>
      <c r="CB34" s="21"/>
    </row>
    <row r="35" spans="1:80" s="32" customFormat="1" x14ac:dyDescent="0.2">
      <c r="A35" s="21"/>
      <c r="B35" s="32" t="s">
        <v>183</v>
      </c>
      <c r="C35" s="15">
        <f>SUM(D35:BZ35)</f>
        <v>9253313.1376119219</v>
      </c>
      <c r="D35" s="15">
        <f t="shared" ref="D35:AI35" si="11">IF(D33-$C33&gt;0,(D33-$C33)*D12*$C29,(D33-$C33)*D12*$C30)</f>
        <v>9853077.2619116437</v>
      </c>
      <c r="E35" s="15">
        <f t="shared" si="11"/>
        <v>261541.4998519542</v>
      </c>
      <c r="F35" s="15">
        <f t="shared" si="11"/>
        <v>-34826.763098598924</v>
      </c>
      <c r="G35" s="15">
        <f t="shared" si="11"/>
        <v>-18708.109023590016</v>
      </c>
      <c r="H35" s="15">
        <f t="shared" si="11"/>
        <v>-92869.650663301523</v>
      </c>
      <c r="I35" s="15">
        <f t="shared" si="11"/>
        <v>-102994.96344895377</v>
      </c>
      <c r="J35" s="15">
        <f t="shared" si="11"/>
        <v>-37934.133842960444</v>
      </c>
      <c r="K35" s="15">
        <f t="shared" si="11"/>
        <v>-23244.827372261647</v>
      </c>
      <c r="L35" s="15">
        <f t="shared" si="11"/>
        <v>-33193.155066336702</v>
      </c>
      <c r="M35" s="15">
        <f t="shared" si="11"/>
        <v>-11029.527323949194</v>
      </c>
      <c r="N35" s="15">
        <f t="shared" si="11"/>
        <v>-64831.204385043675</v>
      </c>
      <c r="O35" s="15">
        <f t="shared" si="11"/>
        <v>-50065.628607967315</v>
      </c>
      <c r="P35" s="15">
        <f t="shared" si="11"/>
        <v>546301.90495611902</v>
      </c>
      <c r="Q35" s="15">
        <f t="shared" si="11"/>
        <v>-103980.40125175592</v>
      </c>
      <c r="R35" s="15">
        <f t="shared" si="11"/>
        <v>78475.421650615826</v>
      </c>
      <c r="S35" s="15">
        <f t="shared" si="11"/>
        <v>-68260.172093874746</v>
      </c>
      <c r="T35" s="15">
        <f t="shared" si="11"/>
        <v>244372.62771556005</v>
      </c>
      <c r="U35" s="15">
        <f t="shared" si="11"/>
        <v>-9842.9613870176818</v>
      </c>
      <c r="V35" s="15">
        <f t="shared" si="11"/>
        <v>-122471.88085574248</v>
      </c>
      <c r="W35" s="15">
        <f t="shared" si="11"/>
        <v>-130378.82943943993</v>
      </c>
      <c r="X35" s="15">
        <f t="shared" si="11"/>
        <v>-177966.36156130536</v>
      </c>
      <c r="Y35" s="15">
        <f t="shared" si="11"/>
        <v>-41788.431236514552</v>
      </c>
      <c r="Z35" s="15">
        <f t="shared" si="11"/>
        <v>-40331.637387826551</v>
      </c>
      <c r="AA35" s="15">
        <f t="shared" si="11"/>
        <v>-196816.82450415893</v>
      </c>
      <c r="AB35" s="15">
        <f t="shared" si="11"/>
        <v>-31380.06793499022</v>
      </c>
      <c r="AC35" s="15">
        <f t="shared" si="11"/>
        <v>-313067.84984593786</v>
      </c>
      <c r="AD35" s="15">
        <f t="shared" si="11"/>
        <v>-31461.637966767135</v>
      </c>
      <c r="AE35" s="15">
        <f t="shared" si="11"/>
        <v>-102443.3415255804</v>
      </c>
      <c r="AF35" s="15">
        <f t="shared" si="11"/>
        <v>-80722.815633822174</v>
      </c>
      <c r="AG35" s="15">
        <f t="shared" si="11"/>
        <v>-115382.87951428707</v>
      </c>
      <c r="AH35" s="15">
        <f t="shared" si="11"/>
        <v>-116607.14206394281</v>
      </c>
      <c r="AI35" s="15">
        <f t="shared" si="11"/>
        <v>-10777.523214898554</v>
      </c>
      <c r="AJ35" s="15">
        <f t="shared" ref="AJ35:BM35" si="12">IF(AJ33-$C33&gt;0,(AJ33-$C33)*AJ12*$C29,(AJ33-$C33)*AJ12*$C30)</f>
        <v>-31564.013890464048</v>
      </c>
      <c r="AK35" s="15">
        <f t="shared" si="12"/>
        <v>-75599.763364592814</v>
      </c>
      <c r="AL35" s="15">
        <f t="shared" si="12"/>
        <v>-82961.539847717358</v>
      </c>
      <c r="AM35" s="15">
        <f t="shared" si="12"/>
        <v>-99776.943182151008</v>
      </c>
      <c r="AN35" s="15">
        <f t="shared" si="12"/>
        <v>-27020.084058311582</v>
      </c>
      <c r="AO35" s="15">
        <f t="shared" si="12"/>
        <v>-131842.13154033644</v>
      </c>
      <c r="AP35" s="15">
        <f t="shared" si="12"/>
        <v>-100910.35767608354</v>
      </c>
      <c r="AQ35" s="15">
        <f t="shared" si="12"/>
        <v>-152056.05076960201</v>
      </c>
      <c r="AR35" s="15">
        <f t="shared" si="12"/>
        <v>-66372.565709154631</v>
      </c>
      <c r="AS35" s="15">
        <f t="shared" si="12"/>
        <v>-46960.639999191131</v>
      </c>
      <c r="AT35" s="15">
        <f t="shared" si="12"/>
        <v>-23278.100889298883</v>
      </c>
      <c r="AU35" s="15">
        <f t="shared" si="12"/>
        <v>-22827.95074895666</v>
      </c>
      <c r="AV35" s="15">
        <f t="shared" si="12"/>
        <v>-37068.739006730924</v>
      </c>
      <c r="AW35" s="15">
        <f t="shared" si="12"/>
        <v>46736.520778661412</v>
      </c>
      <c r="AX35" s="15">
        <f t="shared" si="12"/>
        <v>-85424.270748309558</v>
      </c>
      <c r="AY35" s="15">
        <f t="shared" si="12"/>
        <v>73469.045365108977</v>
      </c>
      <c r="AZ35" s="15">
        <f t="shared" si="12"/>
        <v>-11564.342084037395</v>
      </c>
      <c r="BA35" s="15">
        <f t="shared" si="12"/>
        <v>-101.01539811831378</v>
      </c>
      <c r="BB35" s="15">
        <f t="shared" si="12"/>
        <v>-127941.73099841499</v>
      </c>
      <c r="BC35" s="15">
        <f t="shared" si="12"/>
        <v>-44015.035071255377</v>
      </c>
      <c r="BD35" s="15">
        <f t="shared" si="12"/>
        <v>-75963.031837556438</v>
      </c>
      <c r="BE35" s="15">
        <f t="shared" si="12"/>
        <v>-5127.2718423133483</v>
      </c>
      <c r="BF35" s="15">
        <f t="shared" si="12"/>
        <v>404794.9676898343</v>
      </c>
      <c r="BG35" s="15">
        <f t="shared" si="12"/>
        <v>-25042.004529981026</v>
      </c>
      <c r="BH35" s="15">
        <f t="shared" ref="BH35" si="13">IF(BH33-$C33&gt;0,(BH33-$C33)*BH12*$C29,(BH33-$C33)*BH12*$C30)</f>
        <v>-57221.520517393517</v>
      </c>
      <c r="BI35" s="15">
        <f t="shared" si="12"/>
        <v>23659.655797494484</v>
      </c>
      <c r="BJ35" s="15">
        <f t="shared" si="12"/>
        <v>-27231.103559622141</v>
      </c>
      <c r="BK35" s="15">
        <f t="shared" si="12"/>
        <v>-61285.165591237281</v>
      </c>
      <c r="BL35" s="15">
        <f t="shared" si="12"/>
        <v>531632.02759401826</v>
      </c>
      <c r="BM35" s="15">
        <f t="shared" si="12"/>
        <v>-77226.259059962045</v>
      </c>
      <c r="BN35" s="15">
        <f t="shared" ref="BN35:BZ35" si="14">IF(BN33-$C33&gt;0,(BN33-$C33)*BN12*$C29,(BN33-$C33)*BN12*$C30)</f>
        <v>-211594.74153066089</v>
      </c>
      <c r="BO35" s="15">
        <f t="shared" si="14"/>
        <v>-38303.220567874465</v>
      </c>
      <c r="BP35" s="15">
        <f t="shared" si="14"/>
        <v>348953.49001358898</v>
      </c>
      <c r="BQ35" s="15">
        <f t="shared" si="14"/>
        <v>-32824.133317251006</v>
      </c>
      <c r="BR35" s="15">
        <f t="shared" si="14"/>
        <v>1466955.2830932878</v>
      </c>
      <c r="BS35" s="15">
        <f t="shared" si="14"/>
        <v>-78696.006265993885</v>
      </c>
      <c r="BT35" s="15">
        <f t="shared" si="14"/>
        <v>-115266.16937604791</v>
      </c>
      <c r="BU35" s="15">
        <f t="shared" si="14"/>
        <v>-16939.657296929196</v>
      </c>
      <c r="BV35" s="15">
        <f t="shared" si="14"/>
        <v>-52170.860915510013</v>
      </c>
      <c r="BW35" s="15">
        <f t="shared" si="14"/>
        <v>-297234.33369727962</v>
      </c>
      <c r="BX35" s="15">
        <f t="shared" si="14"/>
        <v>-33731.930481668576</v>
      </c>
      <c r="BY35" s="15">
        <f t="shared" si="14"/>
        <v>-30572.435161990958</v>
      </c>
      <c r="BZ35" s="15">
        <f t="shared" si="14"/>
        <v>-59562.728023137432</v>
      </c>
      <c r="CA35" s="21"/>
      <c r="CB35" s="21"/>
    </row>
    <row r="36" spans="1:80" s="32" customFormat="1" x14ac:dyDescent="0.2">
      <c r="A36" s="2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21"/>
      <c r="CB36" s="21"/>
    </row>
    <row r="37" spans="1:80" s="32" customFormat="1" x14ac:dyDescent="0.2">
      <c r="A37" s="21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21"/>
      <c r="CB37" s="21"/>
    </row>
    <row r="38" spans="1:80" s="32" customFormat="1" x14ac:dyDescent="0.2">
      <c r="A38" s="63" t="s">
        <v>137</v>
      </c>
      <c r="B38" s="61" t="s">
        <v>184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1"/>
      <c r="CB38" s="61"/>
    </row>
    <row r="39" spans="1:80" s="32" customFormat="1" x14ac:dyDescent="0.2">
      <c r="A39" s="21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21"/>
      <c r="CB39" s="21"/>
    </row>
    <row r="40" spans="1:80" x14ac:dyDescent="0.2">
      <c r="B40" s="3" t="s">
        <v>185</v>
      </c>
      <c r="C40" s="10">
        <v>0.6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80" s="32" customFormat="1" x14ac:dyDescent="0.2">
      <c r="A41" s="21"/>
      <c r="B41" s="3" t="s">
        <v>186</v>
      </c>
      <c r="C41" s="75">
        <v>0.2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21"/>
      <c r="CB41" s="21"/>
    </row>
    <row r="42" spans="1:80" s="32" customFormat="1" x14ac:dyDescent="0.2">
      <c r="A42" s="21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21"/>
      <c r="CB42" s="21"/>
    </row>
    <row r="43" spans="1:80" s="30" customFormat="1" x14ac:dyDescent="0.2">
      <c r="A43" s="33"/>
      <c r="B43" s="30" t="s">
        <v>189</v>
      </c>
      <c r="C43" s="36">
        <f>SUM(D43:BZ43)</f>
        <v>87465277.089999974</v>
      </c>
      <c r="D43" s="44">
        <v>15760718.839999983</v>
      </c>
      <c r="E43" s="44">
        <v>1836878.3</v>
      </c>
      <c r="F43" s="44">
        <v>211640.95</v>
      </c>
      <c r="G43" s="44">
        <v>101643.55</v>
      </c>
      <c r="H43" s="44">
        <v>701769.3</v>
      </c>
      <c r="I43" s="44">
        <v>2109176.2000000011</v>
      </c>
      <c r="J43" s="44">
        <v>478054.39999999997</v>
      </c>
      <c r="K43" s="44">
        <v>192178.4</v>
      </c>
      <c r="L43" s="44">
        <v>259886.25</v>
      </c>
      <c r="M43" s="44">
        <v>86372.1</v>
      </c>
      <c r="N43" s="44">
        <v>288863.25</v>
      </c>
      <c r="O43" s="44">
        <v>1097302.5999999999</v>
      </c>
      <c r="P43" s="44">
        <v>1953788.0499999998</v>
      </c>
      <c r="Q43" s="44">
        <v>657636.25</v>
      </c>
      <c r="R43" s="44">
        <v>842734.75</v>
      </c>
      <c r="S43" s="44">
        <v>791432.75000000012</v>
      </c>
      <c r="T43" s="44">
        <v>1278324.6500000001</v>
      </c>
      <c r="U43" s="44">
        <v>881633.25</v>
      </c>
      <c r="V43" s="44">
        <v>660101.85</v>
      </c>
      <c r="W43" s="44">
        <v>610407.35</v>
      </c>
      <c r="X43" s="44">
        <v>990549.29999999993</v>
      </c>
      <c r="Y43" s="44">
        <v>973521.05</v>
      </c>
      <c r="Z43" s="44">
        <v>176614.15</v>
      </c>
      <c r="AA43" s="44">
        <v>1845122.9999999995</v>
      </c>
      <c r="AB43" s="44">
        <v>66294.5</v>
      </c>
      <c r="AC43" s="44">
        <v>570135.45000000019</v>
      </c>
      <c r="AD43" s="44">
        <v>287391.55000000005</v>
      </c>
      <c r="AE43" s="44">
        <v>829242.24999999988</v>
      </c>
      <c r="AF43" s="44">
        <v>557707.9</v>
      </c>
      <c r="AG43" s="44">
        <v>1249501.05</v>
      </c>
      <c r="AH43" s="187">
        <v>3233887.35</v>
      </c>
      <c r="AI43" s="44">
        <v>588540</v>
      </c>
      <c r="AJ43" s="44">
        <v>906873.65</v>
      </c>
      <c r="AK43" s="44">
        <v>1001809.5</v>
      </c>
      <c r="AL43" s="44">
        <v>440017.55000000005</v>
      </c>
      <c r="AM43" s="44">
        <v>856569.4</v>
      </c>
      <c r="AN43" s="44">
        <v>338831.1</v>
      </c>
      <c r="AO43" s="44">
        <v>1559937.1999999997</v>
      </c>
      <c r="AP43" s="44">
        <v>723312.40000000014</v>
      </c>
      <c r="AQ43" s="44">
        <v>1077815.6000000001</v>
      </c>
      <c r="AR43" s="44">
        <v>584745.25</v>
      </c>
      <c r="AS43" s="44">
        <v>273390.39999999997</v>
      </c>
      <c r="AT43" s="44">
        <v>264858.34999999998</v>
      </c>
      <c r="AU43" s="44">
        <v>717079.9</v>
      </c>
      <c r="AV43" s="44">
        <v>423374.7</v>
      </c>
      <c r="AW43" s="44">
        <v>586829.75</v>
      </c>
      <c r="AX43" s="44">
        <v>816618.39999999991</v>
      </c>
      <c r="AY43" s="44">
        <v>1094979.3999999999</v>
      </c>
      <c r="AZ43" s="44">
        <v>387687.10000000003</v>
      </c>
      <c r="BA43" s="44">
        <v>4187470.4500000011</v>
      </c>
      <c r="BB43" s="44">
        <v>1459499.6</v>
      </c>
      <c r="BC43" s="44">
        <v>442050.2</v>
      </c>
      <c r="BD43" s="44">
        <v>706280.1</v>
      </c>
      <c r="BE43" s="44">
        <v>1134093.3</v>
      </c>
      <c r="BF43" s="44">
        <v>2177662.15</v>
      </c>
      <c r="BG43" s="44">
        <v>376997.8</v>
      </c>
      <c r="BH43" s="44">
        <v>1235691.3500000001</v>
      </c>
      <c r="BI43" s="44">
        <v>1022726.9</v>
      </c>
      <c r="BJ43" s="44">
        <v>196982.75</v>
      </c>
      <c r="BK43" s="44">
        <v>645125.55000000005</v>
      </c>
      <c r="BL43" s="44">
        <v>1844331.25</v>
      </c>
      <c r="BM43" s="44">
        <v>374536.9</v>
      </c>
      <c r="BN43" s="44">
        <v>904779.2</v>
      </c>
      <c r="BO43" s="44">
        <v>1682196.8499999999</v>
      </c>
      <c r="BP43" s="44">
        <v>1554354.7</v>
      </c>
      <c r="BQ43" s="44">
        <v>1113000.95</v>
      </c>
      <c r="BR43" s="44">
        <v>5321223.3999999994</v>
      </c>
      <c r="BS43" s="44">
        <v>525396.94999999995</v>
      </c>
      <c r="BT43" s="44">
        <v>402935.89999999997</v>
      </c>
      <c r="BU43" s="44">
        <v>211095.85</v>
      </c>
      <c r="BV43" s="44">
        <v>460370.85000000003</v>
      </c>
      <c r="BW43" s="44">
        <v>3281423.899999999</v>
      </c>
      <c r="BX43" s="44">
        <v>221044.85</v>
      </c>
      <c r="BY43" s="44">
        <v>560848.80000000005</v>
      </c>
      <c r="BZ43" s="44">
        <v>1199376.3500000001</v>
      </c>
      <c r="CA43" s="33"/>
      <c r="CB43" s="33" t="s">
        <v>383</v>
      </c>
    </row>
    <row r="44" spans="1:80" s="30" customFormat="1" x14ac:dyDescent="0.2">
      <c r="A44" s="33"/>
      <c r="B44" s="30" t="s">
        <v>190</v>
      </c>
      <c r="C44" s="36">
        <f t="shared" ref="C44:AH44" si="15">C43/C12</f>
        <v>168.447028069601</v>
      </c>
      <c r="D44" s="36">
        <f t="shared" si="15"/>
        <v>206.48672623414714</v>
      </c>
      <c r="E44" s="36">
        <f t="shared" si="15"/>
        <v>186.54192139737992</v>
      </c>
      <c r="F44" s="36">
        <f t="shared" si="15"/>
        <v>153.80882994186047</v>
      </c>
      <c r="G44" s="36">
        <f t="shared" si="15"/>
        <v>81.838607085346212</v>
      </c>
      <c r="H44" s="36">
        <f t="shared" si="15"/>
        <v>192.89975261132491</v>
      </c>
      <c r="I44" s="36">
        <f t="shared" si="15"/>
        <v>221.52885201134347</v>
      </c>
      <c r="J44" s="36">
        <f t="shared" si="15"/>
        <v>134.32267490868222</v>
      </c>
      <c r="K44" s="36">
        <f t="shared" si="15"/>
        <v>212.35182320441987</v>
      </c>
      <c r="L44" s="36">
        <f t="shared" si="15"/>
        <v>163.9660883280757</v>
      </c>
      <c r="M44" s="36">
        <f t="shared" si="15"/>
        <v>83.693895348837216</v>
      </c>
      <c r="N44" s="36">
        <f t="shared" si="15"/>
        <v>123.39310123878684</v>
      </c>
      <c r="O44" s="36">
        <f t="shared" si="15"/>
        <v>144.53406217070599</v>
      </c>
      <c r="P44" s="36">
        <f t="shared" si="15"/>
        <v>204.69230487166053</v>
      </c>
      <c r="Q44" s="36">
        <f t="shared" si="15"/>
        <v>97.154121731422663</v>
      </c>
      <c r="R44" s="36">
        <f t="shared" si="15"/>
        <v>243.49458249060964</v>
      </c>
      <c r="S44" s="36">
        <f t="shared" si="15"/>
        <v>130.02016592738624</v>
      </c>
      <c r="T44" s="36">
        <f t="shared" si="15"/>
        <v>158.91654027846843</v>
      </c>
      <c r="U44" s="36">
        <f t="shared" si="15"/>
        <v>222.01794258373207</v>
      </c>
      <c r="V44" s="36">
        <f t="shared" si="15"/>
        <v>132.15252252252253</v>
      </c>
      <c r="W44" s="36">
        <f t="shared" si="15"/>
        <v>90.685982766305145</v>
      </c>
      <c r="X44" s="36">
        <f t="shared" si="15"/>
        <v>98.122763744427928</v>
      </c>
      <c r="Y44" s="36">
        <f t="shared" si="15"/>
        <v>201.89154914973042</v>
      </c>
      <c r="Z44" s="36">
        <f t="shared" si="15"/>
        <v>83.862369420702748</v>
      </c>
      <c r="AA44" s="36">
        <f t="shared" si="15"/>
        <v>153.17308650174328</v>
      </c>
      <c r="AB44" s="36">
        <f t="shared" si="15"/>
        <v>43.132400780741705</v>
      </c>
      <c r="AC44" s="36">
        <f t="shared" si="15"/>
        <v>62.949701888042419</v>
      </c>
      <c r="AD44" s="36">
        <f t="shared" si="15"/>
        <v>117.44648549243973</v>
      </c>
      <c r="AE44" s="36">
        <f t="shared" si="15"/>
        <v>139.95649789029534</v>
      </c>
      <c r="AF44" s="36">
        <f t="shared" si="15"/>
        <v>154.40418050941307</v>
      </c>
      <c r="AG44" s="36">
        <f t="shared" si="15"/>
        <v>172.63070599613152</v>
      </c>
      <c r="AH44" s="36">
        <f t="shared" si="15"/>
        <v>243.4056412765317</v>
      </c>
      <c r="AI44" s="36">
        <f t="shared" ref="AI44:BL44" si="16">AI43/AI12</f>
        <v>112.96353166986565</v>
      </c>
      <c r="AJ44" s="36">
        <f t="shared" si="16"/>
        <v>171.20514442137059</v>
      </c>
      <c r="AK44" s="36">
        <f t="shared" si="16"/>
        <v>160.95910989717223</v>
      </c>
      <c r="AL44" s="36">
        <f t="shared" si="16"/>
        <v>88.820660072668559</v>
      </c>
      <c r="AM44" s="36">
        <f t="shared" si="16"/>
        <v>131.01397981033955</v>
      </c>
      <c r="AN44" s="36">
        <f t="shared" si="16"/>
        <v>219.45019430051812</v>
      </c>
      <c r="AO44" s="36">
        <f t="shared" si="16"/>
        <v>173.49985541096649</v>
      </c>
      <c r="AP44" s="36">
        <f t="shared" si="16"/>
        <v>142.55270003941666</v>
      </c>
      <c r="AQ44" s="36">
        <f t="shared" si="16"/>
        <v>185.79824168246856</v>
      </c>
      <c r="AR44" s="36">
        <f t="shared" si="16"/>
        <v>194.91508333333334</v>
      </c>
      <c r="AS44" s="36">
        <f t="shared" si="16"/>
        <v>146.59002680965145</v>
      </c>
      <c r="AT44" s="36">
        <f t="shared" si="16"/>
        <v>146.9802164261931</v>
      </c>
      <c r="AU44" s="36">
        <f t="shared" si="16"/>
        <v>181.4932675272083</v>
      </c>
      <c r="AV44" s="36">
        <f t="shared" si="16"/>
        <v>139.95857851239668</v>
      </c>
      <c r="AW44" s="36">
        <f t="shared" si="16"/>
        <v>116.689152913104</v>
      </c>
      <c r="AX44" s="36">
        <f t="shared" si="16"/>
        <v>150.03093882050339</v>
      </c>
      <c r="AY44" s="36">
        <f t="shared" si="16"/>
        <v>166.81587446678853</v>
      </c>
      <c r="AZ44" s="36">
        <f t="shared" si="16"/>
        <v>95.890947316349255</v>
      </c>
      <c r="BA44" s="36">
        <f t="shared" si="16"/>
        <v>150.47687401178672</v>
      </c>
      <c r="BB44" s="36">
        <f t="shared" si="16"/>
        <v>148.38344855632371</v>
      </c>
      <c r="BC44" s="36">
        <f t="shared" si="16"/>
        <v>169.56279248177984</v>
      </c>
      <c r="BD44" s="36">
        <f t="shared" si="16"/>
        <v>193.18383479212252</v>
      </c>
      <c r="BE44" s="36">
        <f t="shared" si="16"/>
        <v>224.52846960997823</v>
      </c>
      <c r="BF44" s="36">
        <f t="shared" si="16"/>
        <v>245.31510082234988</v>
      </c>
      <c r="BG44" s="36">
        <f t="shared" si="16"/>
        <v>192.34581632653061</v>
      </c>
      <c r="BH44" s="36">
        <f t="shared" ref="BH44" si="17">BH43/BH12</f>
        <v>197.48942784081831</v>
      </c>
      <c r="BI44" s="36">
        <f t="shared" si="16"/>
        <v>201.32419291338584</v>
      </c>
      <c r="BJ44" s="36">
        <f t="shared" si="16"/>
        <v>122.12197768133912</v>
      </c>
      <c r="BK44" s="36">
        <f t="shared" si="16"/>
        <v>222.76434737569062</v>
      </c>
      <c r="BL44" s="36">
        <f t="shared" si="16"/>
        <v>195.9136658168685</v>
      </c>
      <c r="BM44" s="36">
        <f t="shared" ref="BM44:BZ44" si="18">BM43/BM12</f>
        <v>95.545127551020414</v>
      </c>
      <c r="BN44" s="36">
        <f t="shared" si="18"/>
        <v>137.6299361119562</v>
      </c>
      <c r="BO44" s="36">
        <f t="shared" si="18"/>
        <v>124.67181872081819</v>
      </c>
      <c r="BP44" s="36">
        <f t="shared" si="18"/>
        <v>148.82752776713903</v>
      </c>
      <c r="BQ44" s="36">
        <f t="shared" si="18"/>
        <v>270.60562849501576</v>
      </c>
      <c r="BR44" s="36">
        <f t="shared" si="18"/>
        <v>218.92633094709123</v>
      </c>
      <c r="BS44" s="36">
        <f t="shared" si="18"/>
        <v>108.37395833333332</v>
      </c>
      <c r="BT44" s="36">
        <f t="shared" si="18"/>
        <v>88.791516086381662</v>
      </c>
      <c r="BU44" s="36">
        <f t="shared" si="18"/>
        <v>139.15349373764008</v>
      </c>
      <c r="BV44" s="36">
        <f t="shared" si="18"/>
        <v>144.67971401634193</v>
      </c>
      <c r="BW44" s="36">
        <f t="shared" si="18"/>
        <v>182.12931675639669</v>
      </c>
      <c r="BX44" s="36">
        <f t="shared" si="18"/>
        <v>105.91511739338765</v>
      </c>
      <c r="BY44" s="36">
        <f t="shared" si="18"/>
        <v>157.14452227514712</v>
      </c>
      <c r="BZ44" s="36">
        <f t="shared" si="18"/>
        <v>141.65304712412899</v>
      </c>
      <c r="CA44" s="33"/>
      <c r="CB44" s="33"/>
    </row>
    <row r="45" spans="1:80" s="32" customFormat="1" x14ac:dyDescent="0.2">
      <c r="A45" s="21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21"/>
      <c r="CB45" s="21"/>
    </row>
    <row r="46" spans="1:80" s="32" customFormat="1" x14ac:dyDescent="0.2">
      <c r="A46" s="21"/>
      <c r="B46" s="32" t="s">
        <v>184</v>
      </c>
      <c r="C46" s="15">
        <f>SUM(D46:BZ46)</f>
        <v>3942439.1348113888</v>
      </c>
      <c r="D46" s="15">
        <f>IF(D44-$C44&gt;0,(D44-$C44)*D12*$C40,(D44-$C44)*D12*$C41)</f>
        <v>1742096.4489020864</v>
      </c>
      <c r="E46" s="15">
        <f t="shared" ref="E46:BN46" si="19">IF(E44-$C44&gt;0,(E44-$C44)*E12*$C40,(E44-$C44)*E12*$C41)</f>
        <v>106908.24875918341</v>
      </c>
      <c r="F46" s="15">
        <f t="shared" si="19"/>
        <v>-4028.4321247541957</v>
      </c>
      <c r="G46" s="15">
        <f t="shared" si="19"/>
        <v>-21513.531772488892</v>
      </c>
      <c r="H46" s="15">
        <f t="shared" si="19"/>
        <v>53375.407129674953</v>
      </c>
      <c r="I46" s="15">
        <f t="shared" si="19"/>
        <v>303235.22744959802</v>
      </c>
      <c r="J46" s="15">
        <f t="shared" si="19"/>
        <v>-24289.714579941996</v>
      </c>
      <c r="K46" s="15">
        <f t="shared" si="19"/>
        <v>23840.303758206646</v>
      </c>
      <c r="L46" s="15">
        <f t="shared" si="19"/>
        <v>-1420.4578980635215</v>
      </c>
      <c r="M46" s="15">
        <f t="shared" si="19"/>
        <v>-17493.046593565647</v>
      </c>
      <c r="N46" s="15">
        <f t="shared" si="19"/>
        <v>-21094.248542187193</v>
      </c>
      <c r="O46" s="15">
        <f t="shared" si="19"/>
        <v>-36309.447420882185</v>
      </c>
      <c r="P46" s="15">
        <f t="shared" si="19"/>
        <v>207576.7002453949</v>
      </c>
      <c r="Q46" s="15">
        <f t="shared" si="19"/>
        <v>-96516.336600625844</v>
      </c>
      <c r="R46" s="15">
        <f t="shared" si="19"/>
        <v>155843.75151066654</v>
      </c>
      <c r="S46" s="15">
        <f t="shared" si="19"/>
        <v>-46780.861971932252</v>
      </c>
      <c r="T46" s="15">
        <f t="shared" si="19"/>
        <v>-15332.648758374082</v>
      </c>
      <c r="U46" s="15">
        <f t="shared" si="19"/>
        <v>127638.06092136865</v>
      </c>
      <c r="V46" s="15">
        <f t="shared" si="19"/>
        <v>-36258.211041531395</v>
      </c>
      <c r="W46" s="15">
        <f t="shared" si="19"/>
        <v>-104681.91918729688</v>
      </c>
      <c r="X46" s="15">
        <f t="shared" si="19"/>
        <v>-141984.68967252443</v>
      </c>
      <c r="Y46" s="15">
        <f t="shared" si="19"/>
        <v>96761.688389030431</v>
      </c>
      <c r="Z46" s="15">
        <f t="shared" si="19"/>
        <v>-35627.058222915941</v>
      </c>
      <c r="AA46" s="15">
        <f t="shared" si="19"/>
        <v>-36797.980025282821</v>
      </c>
      <c r="AB46" s="15">
        <f t="shared" si="19"/>
        <v>-38521.716428595355</v>
      </c>
      <c r="AC46" s="15">
        <f t="shared" si="19"/>
        <v>-191097.85664527523</v>
      </c>
      <c r="AD46" s="15">
        <f t="shared" si="19"/>
        <v>-24959.665537262728</v>
      </c>
      <c r="AE46" s="15">
        <f t="shared" si="19"/>
        <v>-33761.278262477215</v>
      </c>
      <c r="AF46" s="15">
        <f t="shared" si="19"/>
        <v>-10144.553077479766</v>
      </c>
      <c r="AG46" s="15">
        <f t="shared" si="19"/>
        <v>18168.876499336748</v>
      </c>
      <c r="AH46" s="15">
        <f t="shared" si="19"/>
        <v>597540.08104036865</v>
      </c>
      <c r="AI46" s="15">
        <f t="shared" si="19"/>
        <v>-57813.803248524251</v>
      </c>
      <c r="AJ46" s="15">
        <f t="shared" si="19"/>
        <v>8765.8453891941008</v>
      </c>
      <c r="AK46" s="15">
        <f t="shared" si="19"/>
        <v>-9320.9605410393433</v>
      </c>
      <c r="AL46" s="15">
        <f t="shared" si="19"/>
        <v>-78893.805411360678</v>
      </c>
      <c r="AM46" s="15">
        <f t="shared" si="19"/>
        <v>-48947.453903810281</v>
      </c>
      <c r="AN46" s="15">
        <f t="shared" si="19"/>
        <v>47249.333196321619</v>
      </c>
      <c r="AO46" s="15">
        <f t="shared" si="19"/>
        <v>27257.982375730247</v>
      </c>
      <c r="AP46" s="15">
        <f t="shared" si="19"/>
        <v>-26277.56408503107</v>
      </c>
      <c r="AQ46" s="15">
        <f t="shared" si="19"/>
        <v>60392.634100946801</v>
      </c>
      <c r="AR46" s="15">
        <f t="shared" si="19"/>
        <v>47642.499474718206</v>
      </c>
      <c r="AS46" s="15">
        <f t="shared" si="19"/>
        <v>-8152.6614699611855</v>
      </c>
      <c r="AT46" s="15">
        <f t="shared" si="19"/>
        <v>-7736.6389162842097</v>
      </c>
      <c r="AU46" s="15">
        <f t="shared" si="19"/>
        <v>30927.415258203862</v>
      </c>
      <c r="AV46" s="15">
        <f t="shared" si="19"/>
        <v>-17235.511982108612</v>
      </c>
      <c r="AW46" s="15">
        <f t="shared" si="19"/>
        <v>-52058.070832404694</v>
      </c>
      <c r="AX46" s="15">
        <f t="shared" si="19"/>
        <v>-20047.754756567661</v>
      </c>
      <c r="AY46" s="15">
        <f t="shared" si="19"/>
        <v>-2141.3784497722172</v>
      </c>
      <c r="AZ46" s="15">
        <f t="shared" si="19"/>
        <v>-58668.846897079369</v>
      </c>
      <c r="BA46" s="15">
        <f t="shared" si="19"/>
        <v>-100014.68942417119</v>
      </c>
      <c r="BB46" s="15">
        <f t="shared" si="19"/>
        <v>-39469.073618519091</v>
      </c>
      <c r="BC46" s="15">
        <f t="shared" si="19"/>
        <v>1745.2786935301315</v>
      </c>
      <c r="BD46" s="15">
        <f t="shared" si="19"/>
        <v>54262.65922652321</v>
      </c>
      <c r="BE46" s="15">
        <f t="shared" si="19"/>
        <v>169960.41673226721</v>
      </c>
      <c r="BF46" s="15">
        <f t="shared" si="19"/>
        <v>409414.72909569106</v>
      </c>
      <c r="BG46" s="15">
        <f t="shared" si="19"/>
        <v>28104.974990149214</v>
      </c>
      <c r="BH46" s="15">
        <f t="shared" ref="BH46" si="20">IF(BH44-$C44&gt;0,(BH44-$C44)*BH12*$C40,(BH44-$C44)*BH12*$C41)</f>
        <v>109030.97722110401</v>
      </c>
      <c r="BI46" s="15">
        <f t="shared" si="19"/>
        <v>100209.59844385619</v>
      </c>
      <c r="BJ46" s="15">
        <f t="shared" si="19"/>
        <v>-14944.461255253285</v>
      </c>
      <c r="BK46" s="15">
        <f t="shared" si="19"/>
        <v>94381.774026261322</v>
      </c>
      <c r="BL46" s="15">
        <f t="shared" si="19"/>
        <v>155142.55665166571</v>
      </c>
      <c r="BM46" s="15">
        <f t="shared" si="19"/>
        <v>-57155.090006567181</v>
      </c>
      <c r="BN46" s="15">
        <f t="shared" si="19"/>
        <v>-40518.312505911395</v>
      </c>
      <c r="BO46" s="15">
        <f t="shared" ref="BO46:BZ46" si="21">IF(BO44-$C44&gt;0,(BO44-$C44)*BO12*$C40,(BO44-$C44)*BO12*$C41)</f>
        <v>-118131.77994862531</v>
      </c>
      <c r="BP46" s="15">
        <f t="shared" si="21"/>
        <v>-40981.212231782571</v>
      </c>
      <c r="BQ46" s="15">
        <f t="shared" si="21"/>
        <v>252106.99412983854</v>
      </c>
      <c r="BR46" s="15">
        <f t="shared" si="21"/>
        <v>736169.96144416637</v>
      </c>
      <c r="BS46" s="15">
        <f t="shared" si="21"/>
        <v>-58246.848416285153</v>
      </c>
      <c r="BT46" s="15">
        <f t="shared" si="21"/>
        <v>-72295.342675969878</v>
      </c>
      <c r="BU46" s="15">
        <f t="shared" si="21"/>
        <v>-8887.6583163169471</v>
      </c>
      <c r="BV46" s="15">
        <f t="shared" si="21"/>
        <v>-15125.518663494075</v>
      </c>
      <c r="BW46" s="15">
        <f t="shared" si="21"/>
        <v>147908.27716199873</v>
      </c>
      <c r="BX46" s="15">
        <f t="shared" si="21"/>
        <v>-26100.819516251457</v>
      </c>
      <c r="BY46" s="15">
        <f t="shared" si="21"/>
        <v>-8067.7286360811795</v>
      </c>
      <c r="BZ46" s="15">
        <f t="shared" si="21"/>
        <v>-45372.927333062311</v>
      </c>
      <c r="CA46" s="21"/>
      <c r="CB46" s="21"/>
    </row>
    <row r="47" spans="1:80" s="32" customFormat="1" x14ac:dyDescent="0.2">
      <c r="A47" s="21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21"/>
      <c r="CB47" s="21"/>
    </row>
    <row r="48" spans="1:80" x14ac:dyDescent="0.2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80" s="57" customFormat="1" ht="15.75" x14ac:dyDescent="0.25">
      <c r="A49" s="69" t="s">
        <v>99</v>
      </c>
      <c r="B49" s="69" t="s">
        <v>144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69"/>
      <c r="CB49" s="69"/>
    </row>
    <row r="50" spans="1:80" x14ac:dyDescent="0.2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80" x14ac:dyDescent="0.2">
      <c r="B51" s="3" t="s">
        <v>182</v>
      </c>
      <c r="C51" s="5">
        <f>SUM(D51:BZ51)</f>
        <v>8397159.5244038943</v>
      </c>
      <c r="D51" s="5">
        <f t="shared" ref="D51:BM51" si="22">D24</f>
        <v>5561262.1520987423</v>
      </c>
      <c r="E51" s="5">
        <f t="shared" si="22"/>
        <v>0</v>
      </c>
      <c r="F51" s="5">
        <f t="shared" si="22"/>
        <v>0</v>
      </c>
      <c r="G51" s="5">
        <f t="shared" si="22"/>
        <v>0</v>
      </c>
      <c r="H51" s="5">
        <f t="shared" si="22"/>
        <v>0</v>
      </c>
      <c r="I51" s="5">
        <f t="shared" si="22"/>
        <v>18343.906120586751</v>
      </c>
      <c r="J51" s="5">
        <f t="shared" si="22"/>
        <v>0</v>
      </c>
      <c r="K51" s="5">
        <f t="shared" si="22"/>
        <v>0</v>
      </c>
      <c r="L51" s="5">
        <f t="shared" si="22"/>
        <v>0</v>
      </c>
      <c r="M51" s="5">
        <f t="shared" si="22"/>
        <v>0</v>
      </c>
      <c r="N51" s="5">
        <f t="shared" si="22"/>
        <v>0</v>
      </c>
      <c r="O51" s="5">
        <f t="shared" si="22"/>
        <v>205681.39771069153</v>
      </c>
      <c r="P51" s="5">
        <f t="shared" si="22"/>
        <v>509901.3855906942</v>
      </c>
      <c r="Q51" s="5">
        <f t="shared" si="22"/>
        <v>0</v>
      </c>
      <c r="R51" s="5">
        <f t="shared" si="22"/>
        <v>0</v>
      </c>
      <c r="S51" s="5">
        <f t="shared" si="22"/>
        <v>362954.60060602991</v>
      </c>
      <c r="T51" s="5">
        <f t="shared" si="22"/>
        <v>81172.007064383957</v>
      </c>
      <c r="U51" s="5">
        <f t="shared" si="22"/>
        <v>0</v>
      </c>
      <c r="V51" s="5">
        <f t="shared" si="22"/>
        <v>0</v>
      </c>
      <c r="W51" s="5">
        <f t="shared" si="22"/>
        <v>0</v>
      </c>
      <c r="X51" s="5">
        <f t="shared" si="22"/>
        <v>0</v>
      </c>
      <c r="Y51" s="5">
        <f t="shared" si="22"/>
        <v>0</v>
      </c>
      <c r="Z51" s="5">
        <f t="shared" si="22"/>
        <v>0</v>
      </c>
      <c r="AA51" s="5">
        <f t="shared" si="22"/>
        <v>332181.79670481972</v>
      </c>
      <c r="AB51" s="5">
        <f t="shared" si="22"/>
        <v>0</v>
      </c>
      <c r="AC51" s="5">
        <f t="shared" si="22"/>
        <v>0</v>
      </c>
      <c r="AD51" s="5">
        <f t="shared" si="22"/>
        <v>0</v>
      </c>
      <c r="AE51" s="5">
        <f t="shared" si="22"/>
        <v>0</v>
      </c>
      <c r="AF51" s="5">
        <f t="shared" si="22"/>
        <v>0</v>
      </c>
      <c r="AG51" s="5">
        <f t="shared" si="22"/>
        <v>0</v>
      </c>
      <c r="AH51" s="5">
        <f t="shared" si="22"/>
        <v>0</v>
      </c>
      <c r="AI51" s="5">
        <f t="shared" si="22"/>
        <v>95437.728302516247</v>
      </c>
      <c r="AJ51" s="5">
        <f t="shared" si="22"/>
        <v>0</v>
      </c>
      <c r="AK51" s="5">
        <f t="shared" si="22"/>
        <v>0</v>
      </c>
      <c r="AL51" s="5">
        <f t="shared" si="22"/>
        <v>0</v>
      </c>
      <c r="AM51" s="5">
        <f t="shared" si="22"/>
        <v>0</v>
      </c>
      <c r="AN51" s="5">
        <f t="shared" si="22"/>
        <v>0</v>
      </c>
      <c r="AO51" s="5">
        <f t="shared" si="22"/>
        <v>0</v>
      </c>
      <c r="AP51" s="5">
        <f t="shared" si="22"/>
        <v>0</v>
      </c>
      <c r="AQ51" s="5">
        <f t="shared" si="22"/>
        <v>0</v>
      </c>
      <c r="AR51" s="5">
        <f t="shared" si="22"/>
        <v>0</v>
      </c>
      <c r="AS51" s="5">
        <f t="shared" si="22"/>
        <v>0</v>
      </c>
      <c r="AT51" s="5">
        <f t="shared" si="22"/>
        <v>0</v>
      </c>
      <c r="AU51" s="5">
        <f t="shared" si="22"/>
        <v>0</v>
      </c>
      <c r="AV51" s="5">
        <f t="shared" si="22"/>
        <v>0</v>
      </c>
      <c r="AW51" s="5">
        <f t="shared" si="22"/>
        <v>0</v>
      </c>
      <c r="AX51" s="5">
        <f t="shared" si="22"/>
        <v>0</v>
      </c>
      <c r="AY51" s="5">
        <f t="shared" si="22"/>
        <v>77423.029074417747</v>
      </c>
      <c r="AZ51" s="5">
        <f t="shared" si="22"/>
        <v>0</v>
      </c>
      <c r="BA51" s="5">
        <f t="shared" si="22"/>
        <v>299453.49358971621</v>
      </c>
      <c r="BB51" s="5">
        <f t="shared" si="22"/>
        <v>0</v>
      </c>
      <c r="BC51" s="5">
        <f t="shared" si="22"/>
        <v>0</v>
      </c>
      <c r="BD51" s="5">
        <f t="shared" si="22"/>
        <v>0</v>
      </c>
      <c r="BE51" s="5">
        <f t="shared" si="22"/>
        <v>77625.392813053579</v>
      </c>
      <c r="BF51" s="5">
        <f t="shared" si="22"/>
        <v>0</v>
      </c>
      <c r="BG51" s="5">
        <f t="shared" si="22"/>
        <v>427.06939211741434</v>
      </c>
      <c r="BH51" s="5">
        <f t="shared" ref="BH51" si="23">BH24</f>
        <v>74880.168185958464</v>
      </c>
      <c r="BI51" s="5">
        <f t="shared" si="22"/>
        <v>0</v>
      </c>
      <c r="BJ51" s="5">
        <f t="shared" si="22"/>
        <v>0</v>
      </c>
      <c r="BK51" s="5">
        <f t="shared" si="22"/>
        <v>0</v>
      </c>
      <c r="BL51" s="5">
        <f t="shared" si="22"/>
        <v>0</v>
      </c>
      <c r="BM51" s="5">
        <f t="shared" si="22"/>
        <v>0</v>
      </c>
      <c r="BN51" s="5">
        <f t="shared" ref="BN51:BZ51" si="24">BN24</f>
        <v>0</v>
      </c>
      <c r="BO51" s="5">
        <f t="shared" si="24"/>
        <v>0</v>
      </c>
      <c r="BP51" s="5">
        <f t="shared" si="24"/>
        <v>36634.072075139979</v>
      </c>
      <c r="BQ51" s="5">
        <f t="shared" si="24"/>
        <v>25492.532189683101</v>
      </c>
      <c r="BR51" s="5">
        <f t="shared" si="24"/>
        <v>523615.45935143187</v>
      </c>
      <c r="BS51" s="5">
        <f t="shared" si="24"/>
        <v>0</v>
      </c>
      <c r="BT51" s="5">
        <f t="shared" si="24"/>
        <v>0</v>
      </c>
      <c r="BU51" s="5">
        <f t="shared" si="24"/>
        <v>0</v>
      </c>
      <c r="BV51" s="5">
        <f t="shared" si="24"/>
        <v>0</v>
      </c>
      <c r="BW51" s="5">
        <f t="shared" si="24"/>
        <v>0</v>
      </c>
      <c r="BX51" s="5">
        <f t="shared" si="24"/>
        <v>0</v>
      </c>
      <c r="BY51" s="5">
        <f t="shared" si="24"/>
        <v>114673.33353391179</v>
      </c>
      <c r="BZ51" s="5">
        <f t="shared" si="24"/>
        <v>0</v>
      </c>
    </row>
    <row r="52" spans="1:80" x14ac:dyDescent="0.2">
      <c r="B52" s="3" t="s">
        <v>183</v>
      </c>
      <c r="C52" s="5">
        <f>SUM(D52:BZ52)</f>
        <v>9253313.1376119219</v>
      </c>
      <c r="D52" s="5">
        <f t="shared" ref="D52:BM52" si="25">D35</f>
        <v>9853077.2619116437</v>
      </c>
      <c r="E52" s="5">
        <f t="shared" si="25"/>
        <v>261541.4998519542</v>
      </c>
      <c r="F52" s="5">
        <f t="shared" si="25"/>
        <v>-34826.763098598924</v>
      </c>
      <c r="G52" s="5">
        <f t="shared" si="25"/>
        <v>-18708.109023590016</v>
      </c>
      <c r="H52" s="5">
        <f t="shared" si="25"/>
        <v>-92869.650663301523</v>
      </c>
      <c r="I52" s="5">
        <f t="shared" si="25"/>
        <v>-102994.96344895377</v>
      </c>
      <c r="J52" s="5">
        <f t="shared" si="25"/>
        <v>-37934.133842960444</v>
      </c>
      <c r="K52" s="5">
        <f t="shared" si="25"/>
        <v>-23244.827372261647</v>
      </c>
      <c r="L52" s="5">
        <f t="shared" si="25"/>
        <v>-33193.155066336702</v>
      </c>
      <c r="M52" s="5">
        <f t="shared" si="25"/>
        <v>-11029.527323949194</v>
      </c>
      <c r="N52" s="5">
        <f t="shared" si="25"/>
        <v>-64831.204385043675</v>
      </c>
      <c r="O52" s="5">
        <f t="shared" si="25"/>
        <v>-50065.628607967315</v>
      </c>
      <c r="P52" s="5">
        <f t="shared" si="25"/>
        <v>546301.90495611902</v>
      </c>
      <c r="Q52" s="5">
        <f t="shared" si="25"/>
        <v>-103980.40125175592</v>
      </c>
      <c r="R52" s="5">
        <f t="shared" si="25"/>
        <v>78475.421650615826</v>
      </c>
      <c r="S52" s="5">
        <f t="shared" si="25"/>
        <v>-68260.172093874746</v>
      </c>
      <c r="T52" s="5">
        <f t="shared" si="25"/>
        <v>244372.62771556005</v>
      </c>
      <c r="U52" s="5">
        <f t="shared" si="25"/>
        <v>-9842.9613870176818</v>
      </c>
      <c r="V52" s="5">
        <f t="shared" si="25"/>
        <v>-122471.88085574248</v>
      </c>
      <c r="W52" s="5">
        <f t="shared" si="25"/>
        <v>-130378.82943943993</v>
      </c>
      <c r="X52" s="5">
        <f t="shared" si="25"/>
        <v>-177966.36156130536</v>
      </c>
      <c r="Y52" s="5">
        <f t="shared" si="25"/>
        <v>-41788.431236514552</v>
      </c>
      <c r="Z52" s="5">
        <f t="shared" si="25"/>
        <v>-40331.637387826551</v>
      </c>
      <c r="AA52" s="5">
        <f t="shared" si="25"/>
        <v>-196816.82450415893</v>
      </c>
      <c r="AB52" s="5">
        <f t="shared" si="25"/>
        <v>-31380.06793499022</v>
      </c>
      <c r="AC52" s="5">
        <f t="shared" si="25"/>
        <v>-313067.84984593786</v>
      </c>
      <c r="AD52" s="5">
        <f t="shared" si="25"/>
        <v>-31461.637966767135</v>
      </c>
      <c r="AE52" s="5">
        <f t="shared" si="25"/>
        <v>-102443.3415255804</v>
      </c>
      <c r="AF52" s="5">
        <f t="shared" si="25"/>
        <v>-80722.815633822174</v>
      </c>
      <c r="AG52" s="5">
        <f t="shared" si="25"/>
        <v>-115382.87951428707</v>
      </c>
      <c r="AH52" s="5">
        <f t="shared" si="25"/>
        <v>-116607.14206394281</v>
      </c>
      <c r="AI52" s="5">
        <f t="shared" si="25"/>
        <v>-10777.523214898554</v>
      </c>
      <c r="AJ52" s="5">
        <f t="shared" si="25"/>
        <v>-31564.013890464048</v>
      </c>
      <c r="AK52" s="5">
        <f t="shared" si="25"/>
        <v>-75599.763364592814</v>
      </c>
      <c r="AL52" s="5">
        <f t="shared" si="25"/>
        <v>-82961.539847717358</v>
      </c>
      <c r="AM52" s="5">
        <f t="shared" si="25"/>
        <v>-99776.943182151008</v>
      </c>
      <c r="AN52" s="5">
        <f t="shared" si="25"/>
        <v>-27020.084058311582</v>
      </c>
      <c r="AO52" s="5">
        <f t="shared" si="25"/>
        <v>-131842.13154033644</v>
      </c>
      <c r="AP52" s="5">
        <f t="shared" si="25"/>
        <v>-100910.35767608354</v>
      </c>
      <c r="AQ52" s="5">
        <f t="shared" si="25"/>
        <v>-152056.05076960201</v>
      </c>
      <c r="AR52" s="5">
        <f t="shared" si="25"/>
        <v>-66372.565709154631</v>
      </c>
      <c r="AS52" s="5">
        <f t="shared" si="25"/>
        <v>-46960.639999191131</v>
      </c>
      <c r="AT52" s="5">
        <f t="shared" si="25"/>
        <v>-23278.100889298883</v>
      </c>
      <c r="AU52" s="5">
        <f t="shared" si="25"/>
        <v>-22827.95074895666</v>
      </c>
      <c r="AV52" s="5">
        <f t="shared" si="25"/>
        <v>-37068.739006730924</v>
      </c>
      <c r="AW52" s="5">
        <f t="shared" si="25"/>
        <v>46736.520778661412</v>
      </c>
      <c r="AX52" s="5">
        <f t="shared" si="25"/>
        <v>-85424.270748309558</v>
      </c>
      <c r="AY52" s="5">
        <f t="shared" si="25"/>
        <v>73469.045365108977</v>
      </c>
      <c r="AZ52" s="5">
        <f t="shared" si="25"/>
        <v>-11564.342084037395</v>
      </c>
      <c r="BA52" s="5">
        <f t="shared" si="25"/>
        <v>-101.01539811831378</v>
      </c>
      <c r="BB52" s="5">
        <f t="shared" si="25"/>
        <v>-127941.73099841499</v>
      </c>
      <c r="BC52" s="5">
        <f t="shared" si="25"/>
        <v>-44015.035071255377</v>
      </c>
      <c r="BD52" s="5">
        <f t="shared" si="25"/>
        <v>-75963.031837556438</v>
      </c>
      <c r="BE52" s="5">
        <f t="shared" si="25"/>
        <v>-5127.2718423133483</v>
      </c>
      <c r="BF52" s="5">
        <f t="shared" si="25"/>
        <v>404794.9676898343</v>
      </c>
      <c r="BG52" s="5">
        <f t="shared" si="25"/>
        <v>-25042.004529981026</v>
      </c>
      <c r="BH52" s="5">
        <f t="shared" ref="BH52" si="26">BH35</f>
        <v>-57221.520517393517</v>
      </c>
      <c r="BI52" s="5">
        <f t="shared" si="25"/>
        <v>23659.655797494484</v>
      </c>
      <c r="BJ52" s="5">
        <f t="shared" si="25"/>
        <v>-27231.103559622141</v>
      </c>
      <c r="BK52" s="5">
        <f t="shared" si="25"/>
        <v>-61285.165591237281</v>
      </c>
      <c r="BL52" s="5">
        <f t="shared" si="25"/>
        <v>531632.02759401826</v>
      </c>
      <c r="BM52" s="5">
        <f t="shared" si="25"/>
        <v>-77226.259059962045</v>
      </c>
      <c r="BN52" s="5">
        <f t="shared" ref="BN52:BZ52" si="27">BN35</f>
        <v>-211594.74153066089</v>
      </c>
      <c r="BO52" s="5">
        <f t="shared" si="27"/>
        <v>-38303.220567874465</v>
      </c>
      <c r="BP52" s="5">
        <f t="shared" si="27"/>
        <v>348953.49001358898</v>
      </c>
      <c r="BQ52" s="5">
        <f t="shared" si="27"/>
        <v>-32824.133317251006</v>
      </c>
      <c r="BR52" s="5">
        <f t="shared" si="27"/>
        <v>1466955.2830932878</v>
      </c>
      <c r="BS52" s="5">
        <f t="shared" si="27"/>
        <v>-78696.006265993885</v>
      </c>
      <c r="BT52" s="5">
        <f t="shared" si="27"/>
        <v>-115266.16937604791</v>
      </c>
      <c r="BU52" s="5">
        <f t="shared" si="27"/>
        <v>-16939.657296929196</v>
      </c>
      <c r="BV52" s="5">
        <f t="shared" si="27"/>
        <v>-52170.860915510013</v>
      </c>
      <c r="BW52" s="5">
        <f t="shared" si="27"/>
        <v>-297234.33369727962</v>
      </c>
      <c r="BX52" s="5">
        <f t="shared" si="27"/>
        <v>-33731.930481668576</v>
      </c>
      <c r="BY52" s="5">
        <f t="shared" si="27"/>
        <v>-30572.435161990958</v>
      </c>
      <c r="BZ52" s="5">
        <f t="shared" si="27"/>
        <v>-59562.728023137432</v>
      </c>
    </row>
    <row r="53" spans="1:80" x14ac:dyDescent="0.2">
      <c r="B53" s="38" t="s">
        <v>184</v>
      </c>
      <c r="C53" s="5">
        <f>SUM(D53:BZ53)</f>
        <v>3942439.1348113888</v>
      </c>
      <c r="D53" s="5">
        <f t="shared" ref="D53:BM53" si="28">D46</f>
        <v>1742096.4489020864</v>
      </c>
      <c r="E53" s="5">
        <f t="shared" si="28"/>
        <v>106908.24875918341</v>
      </c>
      <c r="F53" s="5">
        <f t="shared" si="28"/>
        <v>-4028.4321247541957</v>
      </c>
      <c r="G53" s="5">
        <f t="shared" si="28"/>
        <v>-21513.531772488892</v>
      </c>
      <c r="H53" s="5">
        <f t="shared" si="28"/>
        <v>53375.407129674953</v>
      </c>
      <c r="I53" s="5">
        <f t="shared" si="28"/>
        <v>303235.22744959802</v>
      </c>
      <c r="J53" s="5">
        <f t="shared" si="28"/>
        <v>-24289.714579941996</v>
      </c>
      <c r="K53" s="5">
        <f t="shared" si="28"/>
        <v>23840.303758206646</v>
      </c>
      <c r="L53" s="5">
        <f t="shared" si="28"/>
        <v>-1420.4578980635215</v>
      </c>
      <c r="M53" s="5">
        <f t="shared" si="28"/>
        <v>-17493.046593565647</v>
      </c>
      <c r="N53" s="5">
        <f t="shared" si="28"/>
        <v>-21094.248542187193</v>
      </c>
      <c r="O53" s="5">
        <f t="shared" si="28"/>
        <v>-36309.447420882185</v>
      </c>
      <c r="P53" s="5">
        <f t="shared" si="28"/>
        <v>207576.7002453949</v>
      </c>
      <c r="Q53" s="5">
        <f t="shared" si="28"/>
        <v>-96516.336600625844</v>
      </c>
      <c r="R53" s="5">
        <f t="shared" si="28"/>
        <v>155843.75151066654</v>
      </c>
      <c r="S53" s="5">
        <f t="shared" si="28"/>
        <v>-46780.861971932252</v>
      </c>
      <c r="T53" s="5">
        <f t="shared" si="28"/>
        <v>-15332.648758374082</v>
      </c>
      <c r="U53" s="5">
        <f t="shared" si="28"/>
        <v>127638.06092136865</v>
      </c>
      <c r="V53" s="5">
        <f t="shared" si="28"/>
        <v>-36258.211041531395</v>
      </c>
      <c r="W53" s="5">
        <f t="shared" si="28"/>
        <v>-104681.91918729688</v>
      </c>
      <c r="X53" s="5">
        <f t="shared" si="28"/>
        <v>-141984.68967252443</v>
      </c>
      <c r="Y53" s="5">
        <f t="shared" si="28"/>
        <v>96761.688389030431</v>
      </c>
      <c r="Z53" s="5">
        <f t="shared" si="28"/>
        <v>-35627.058222915941</v>
      </c>
      <c r="AA53" s="5">
        <f t="shared" si="28"/>
        <v>-36797.980025282821</v>
      </c>
      <c r="AB53" s="5">
        <f t="shared" si="28"/>
        <v>-38521.716428595355</v>
      </c>
      <c r="AC53" s="5">
        <f t="shared" si="28"/>
        <v>-191097.85664527523</v>
      </c>
      <c r="AD53" s="5">
        <f t="shared" si="28"/>
        <v>-24959.665537262728</v>
      </c>
      <c r="AE53" s="5">
        <f t="shared" si="28"/>
        <v>-33761.278262477215</v>
      </c>
      <c r="AF53" s="5">
        <f t="shared" si="28"/>
        <v>-10144.553077479766</v>
      </c>
      <c r="AG53" s="5">
        <f t="shared" si="28"/>
        <v>18168.876499336748</v>
      </c>
      <c r="AH53" s="5">
        <f t="shared" si="28"/>
        <v>597540.08104036865</v>
      </c>
      <c r="AI53" s="5">
        <f t="shared" si="28"/>
        <v>-57813.803248524251</v>
      </c>
      <c r="AJ53" s="5">
        <f t="shared" si="28"/>
        <v>8765.8453891941008</v>
      </c>
      <c r="AK53" s="5">
        <f t="shared" si="28"/>
        <v>-9320.9605410393433</v>
      </c>
      <c r="AL53" s="5">
        <f t="shared" si="28"/>
        <v>-78893.805411360678</v>
      </c>
      <c r="AM53" s="5">
        <f t="shared" si="28"/>
        <v>-48947.453903810281</v>
      </c>
      <c r="AN53" s="5">
        <f t="shared" si="28"/>
        <v>47249.333196321619</v>
      </c>
      <c r="AO53" s="5">
        <f t="shared" si="28"/>
        <v>27257.982375730247</v>
      </c>
      <c r="AP53" s="5">
        <f t="shared" si="28"/>
        <v>-26277.56408503107</v>
      </c>
      <c r="AQ53" s="5">
        <f t="shared" si="28"/>
        <v>60392.634100946801</v>
      </c>
      <c r="AR53" s="5">
        <f t="shared" si="28"/>
        <v>47642.499474718206</v>
      </c>
      <c r="AS53" s="5">
        <f t="shared" si="28"/>
        <v>-8152.6614699611855</v>
      </c>
      <c r="AT53" s="5">
        <f t="shared" si="28"/>
        <v>-7736.6389162842097</v>
      </c>
      <c r="AU53" s="5">
        <f t="shared" si="28"/>
        <v>30927.415258203862</v>
      </c>
      <c r="AV53" s="5">
        <f t="shared" si="28"/>
        <v>-17235.511982108612</v>
      </c>
      <c r="AW53" s="5">
        <f t="shared" si="28"/>
        <v>-52058.070832404694</v>
      </c>
      <c r="AX53" s="5">
        <f t="shared" si="28"/>
        <v>-20047.754756567661</v>
      </c>
      <c r="AY53" s="5">
        <f t="shared" si="28"/>
        <v>-2141.3784497722172</v>
      </c>
      <c r="AZ53" s="5">
        <f t="shared" si="28"/>
        <v>-58668.846897079369</v>
      </c>
      <c r="BA53" s="5">
        <f t="shared" si="28"/>
        <v>-100014.68942417119</v>
      </c>
      <c r="BB53" s="5">
        <f t="shared" si="28"/>
        <v>-39469.073618519091</v>
      </c>
      <c r="BC53" s="5">
        <f t="shared" si="28"/>
        <v>1745.2786935301315</v>
      </c>
      <c r="BD53" s="5">
        <f t="shared" si="28"/>
        <v>54262.65922652321</v>
      </c>
      <c r="BE53" s="5">
        <f t="shared" si="28"/>
        <v>169960.41673226721</v>
      </c>
      <c r="BF53" s="5">
        <f t="shared" si="28"/>
        <v>409414.72909569106</v>
      </c>
      <c r="BG53" s="5">
        <f t="shared" si="28"/>
        <v>28104.974990149214</v>
      </c>
      <c r="BH53" s="5">
        <f t="shared" ref="BH53" si="29">BH46</f>
        <v>109030.97722110401</v>
      </c>
      <c r="BI53" s="5">
        <f t="shared" si="28"/>
        <v>100209.59844385619</v>
      </c>
      <c r="BJ53" s="5">
        <f t="shared" si="28"/>
        <v>-14944.461255253285</v>
      </c>
      <c r="BK53" s="5">
        <f t="shared" si="28"/>
        <v>94381.774026261322</v>
      </c>
      <c r="BL53" s="5">
        <f t="shared" si="28"/>
        <v>155142.55665166571</v>
      </c>
      <c r="BM53" s="5">
        <f t="shared" si="28"/>
        <v>-57155.090006567181</v>
      </c>
      <c r="BN53" s="5">
        <f t="shared" ref="BN53:BZ53" si="30">BN46</f>
        <v>-40518.312505911395</v>
      </c>
      <c r="BO53" s="5">
        <f t="shared" si="30"/>
        <v>-118131.77994862531</v>
      </c>
      <c r="BP53" s="5">
        <f t="shared" si="30"/>
        <v>-40981.212231782571</v>
      </c>
      <c r="BQ53" s="5">
        <f t="shared" si="30"/>
        <v>252106.99412983854</v>
      </c>
      <c r="BR53" s="5">
        <f t="shared" si="30"/>
        <v>736169.96144416637</v>
      </c>
      <c r="BS53" s="5">
        <f t="shared" si="30"/>
        <v>-58246.848416285153</v>
      </c>
      <c r="BT53" s="5">
        <f t="shared" si="30"/>
        <v>-72295.342675969878</v>
      </c>
      <c r="BU53" s="5">
        <f t="shared" si="30"/>
        <v>-8887.6583163169471</v>
      </c>
      <c r="BV53" s="5">
        <f t="shared" si="30"/>
        <v>-15125.518663494075</v>
      </c>
      <c r="BW53" s="5">
        <f t="shared" si="30"/>
        <v>147908.27716199873</v>
      </c>
      <c r="BX53" s="5">
        <f t="shared" si="30"/>
        <v>-26100.819516251457</v>
      </c>
      <c r="BY53" s="5">
        <f t="shared" si="30"/>
        <v>-8067.7286360811795</v>
      </c>
      <c r="BZ53" s="5">
        <f t="shared" si="30"/>
        <v>-45372.927333062311</v>
      </c>
    </row>
    <row r="54" spans="1:80" x14ac:dyDescent="0.2">
      <c r="B54" s="3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80" s="32" customFormat="1" x14ac:dyDescent="0.2">
      <c r="B55" s="147" t="s">
        <v>192</v>
      </c>
      <c r="C55" s="148">
        <f>SUM(D55:BZ55)</f>
        <v>26497800</v>
      </c>
      <c r="D55" s="148">
        <f>ROUND(IF((D51+D52+D53)&lt;0,0,(D51+D52+D53)),-2)</f>
        <v>17156400</v>
      </c>
      <c r="E55" s="148">
        <f t="shared" ref="E55:BN55" si="31">ROUND(IF((E51+E52+E53)&lt;0,0,(E51+E52+E53)),-2)</f>
        <v>368400</v>
      </c>
      <c r="F55" s="148">
        <f t="shared" si="31"/>
        <v>0</v>
      </c>
      <c r="G55" s="148">
        <f t="shared" si="31"/>
        <v>0</v>
      </c>
      <c r="H55" s="148">
        <f t="shared" si="31"/>
        <v>0</v>
      </c>
      <c r="I55" s="148">
        <f t="shared" si="31"/>
        <v>218600</v>
      </c>
      <c r="J55" s="148">
        <f t="shared" si="31"/>
        <v>0</v>
      </c>
      <c r="K55" s="148">
        <f t="shared" si="31"/>
        <v>600</v>
      </c>
      <c r="L55" s="148">
        <f t="shared" si="31"/>
        <v>0</v>
      </c>
      <c r="M55" s="148">
        <f t="shared" si="31"/>
        <v>0</v>
      </c>
      <c r="N55" s="148">
        <f t="shared" si="31"/>
        <v>0</v>
      </c>
      <c r="O55" s="148">
        <f t="shared" si="31"/>
        <v>119300</v>
      </c>
      <c r="P55" s="148">
        <f t="shared" si="31"/>
        <v>1263800</v>
      </c>
      <c r="Q55" s="148">
        <f t="shared" si="31"/>
        <v>0</v>
      </c>
      <c r="R55" s="148">
        <f t="shared" si="31"/>
        <v>234300</v>
      </c>
      <c r="S55" s="148">
        <f t="shared" si="31"/>
        <v>247900</v>
      </c>
      <c r="T55" s="148">
        <f t="shared" si="31"/>
        <v>310200</v>
      </c>
      <c r="U55" s="148">
        <f t="shared" si="31"/>
        <v>117800</v>
      </c>
      <c r="V55" s="148">
        <f t="shared" si="31"/>
        <v>0</v>
      </c>
      <c r="W55" s="148">
        <f t="shared" si="31"/>
        <v>0</v>
      </c>
      <c r="X55" s="148">
        <f t="shared" si="31"/>
        <v>0</v>
      </c>
      <c r="Y55" s="148">
        <f t="shared" si="31"/>
        <v>55000</v>
      </c>
      <c r="Z55" s="148">
        <f t="shared" si="31"/>
        <v>0</v>
      </c>
      <c r="AA55" s="148">
        <f t="shared" si="31"/>
        <v>98600</v>
      </c>
      <c r="AB55" s="148">
        <f t="shared" si="31"/>
        <v>0</v>
      </c>
      <c r="AC55" s="148">
        <f t="shared" si="31"/>
        <v>0</v>
      </c>
      <c r="AD55" s="148">
        <f t="shared" si="31"/>
        <v>0</v>
      </c>
      <c r="AE55" s="148">
        <f t="shared" si="31"/>
        <v>0</v>
      </c>
      <c r="AF55" s="148">
        <f t="shared" si="31"/>
        <v>0</v>
      </c>
      <c r="AG55" s="148">
        <f t="shared" si="31"/>
        <v>0</v>
      </c>
      <c r="AH55" s="148">
        <f t="shared" si="31"/>
        <v>480900</v>
      </c>
      <c r="AI55" s="148">
        <f t="shared" si="31"/>
        <v>26800</v>
      </c>
      <c r="AJ55" s="148">
        <f t="shared" si="31"/>
        <v>0</v>
      </c>
      <c r="AK55" s="148">
        <f t="shared" si="31"/>
        <v>0</v>
      </c>
      <c r="AL55" s="148">
        <f t="shared" si="31"/>
        <v>0</v>
      </c>
      <c r="AM55" s="148">
        <f t="shared" si="31"/>
        <v>0</v>
      </c>
      <c r="AN55" s="148">
        <f t="shared" si="31"/>
        <v>20200</v>
      </c>
      <c r="AO55" s="148">
        <f t="shared" si="31"/>
        <v>0</v>
      </c>
      <c r="AP55" s="148">
        <f t="shared" si="31"/>
        <v>0</v>
      </c>
      <c r="AQ55" s="148">
        <f t="shared" si="31"/>
        <v>0</v>
      </c>
      <c r="AR55" s="148">
        <f t="shared" si="31"/>
        <v>0</v>
      </c>
      <c r="AS55" s="148">
        <f t="shared" si="31"/>
        <v>0</v>
      </c>
      <c r="AT55" s="148">
        <f t="shared" si="31"/>
        <v>0</v>
      </c>
      <c r="AU55" s="148">
        <f t="shared" si="31"/>
        <v>8100</v>
      </c>
      <c r="AV55" s="148">
        <f t="shared" si="31"/>
        <v>0</v>
      </c>
      <c r="AW55" s="148">
        <f t="shared" si="31"/>
        <v>0</v>
      </c>
      <c r="AX55" s="148">
        <f t="shared" si="31"/>
        <v>0</v>
      </c>
      <c r="AY55" s="148">
        <f t="shared" si="31"/>
        <v>148800</v>
      </c>
      <c r="AZ55" s="148">
        <f t="shared" si="31"/>
        <v>0</v>
      </c>
      <c r="BA55" s="148">
        <f t="shared" si="31"/>
        <v>199300</v>
      </c>
      <c r="BB55" s="148">
        <f t="shared" si="31"/>
        <v>0</v>
      </c>
      <c r="BC55" s="148">
        <f t="shared" si="31"/>
        <v>0</v>
      </c>
      <c r="BD55" s="148">
        <f t="shared" si="31"/>
        <v>0</v>
      </c>
      <c r="BE55" s="148">
        <f t="shared" si="31"/>
        <v>242500</v>
      </c>
      <c r="BF55" s="148">
        <f t="shared" si="31"/>
        <v>814200</v>
      </c>
      <c r="BG55" s="148">
        <f t="shared" si="31"/>
        <v>3500</v>
      </c>
      <c r="BH55" s="148">
        <f t="shared" ref="BH55" si="32">ROUND(IF((BH51+BH52+BH53)&lt;0,0,(BH51+BH52+BH53)),-2)</f>
        <v>126700</v>
      </c>
      <c r="BI55" s="148">
        <f t="shared" si="31"/>
        <v>123900</v>
      </c>
      <c r="BJ55" s="148">
        <f t="shared" si="31"/>
        <v>0</v>
      </c>
      <c r="BK55" s="148">
        <f t="shared" si="31"/>
        <v>33100</v>
      </c>
      <c r="BL55" s="148">
        <f t="shared" si="31"/>
        <v>686800</v>
      </c>
      <c r="BM55" s="148">
        <f t="shared" si="31"/>
        <v>0</v>
      </c>
      <c r="BN55" s="148">
        <f t="shared" si="31"/>
        <v>0</v>
      </c>
      <c r="BO55" s="148">
        <f t="shared" ref="BO55:BZ55" si="33">ROUND(IF((BO51+BO52+BO53)&lt;0,0,(BO51+BO52+BO53)),-2)</f>
        <v>0</v>
      </c>
      <c r="BP55" s="148">
        <f t="shared" si="33"/>
        <v>344600</v>
      </c>
      <c r="BQ55" s="148">
        <f t="shared" si="33"/>
        <v>244800</v>
      </c>
      <c r="BR55" s="148">
        <f t="shared" si="33"/>
        <v>2726700</v>
      </c>
      <c r="BS55" s="148">
        <f t="shared" si="33"/>
        <v>0</v>
      </c>
      <c r="BT55" s="148">
        <f t="shared" si="33"/>
        <v>0</v>
      </c>
      <c r="BU55" s="148">
        <f t="shared" si="33"/>
        <v>0</v>
      </c>
      <c r="BV55" s="148">
        <f t="shared" si="33"/>
        <v>0</v>
      </c>
      <c r="BW55" s="148">
        <f t="shared" si="33"/>
        <v>0</v>
      </c>
      <c r="BX55" s="148">
        <f t="shared" si="33"/>
        <v>0</v>
      </c>
      <c r="BY55" s="148">
        <f t="shared" si="33"/>
        <v>76000</v>
      </c>
      <c r="BZ55" s="148">
        <f t="shared" si="33"/>
        <v>0</v>
      </c>
    </row>
    <row r="56" spans="1:80" x14ac:dyDescent="0.2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80" x14ac:dyDescent="0.2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80" x14ac:dyDescent="0.2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80" x14ac:dyDescent="0.2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80" x14ac:dyDescent="0.2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80" x14ac:dyDescent="0.2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80" x14ac:dyDescent="0.2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80" x14ac:dyDescent="0.2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80" x14ac:dyDescent="0.2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3:78" x14ac:dyDescent="0.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3:78" x14ac:dyDescent="0.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3:78" x14ac:dyDescent="0.2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3:78" x14ac:dyDescent="0.2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3:78" x14ac:dyDescent="0.2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3:78" x14ac:dyDescent="0.2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3:78" x14ac:dyDescent="0.2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3:78" x14ac:dyDescent="0.2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3:78" x14ac:dyDescent="0.2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3:78" x14ac:dyDescent="0.2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3:78" x14ac:dyDescent="0.2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3:78" x14ac:dyDescent="0.2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3:78" x14ac:dyDescent="0.2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3:78" x14ac:dyDescent="0.2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3:78" x14ac:dyDescent="0.2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3:78" x14ac:dyDescent="0.2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3:78" x14ac:dyDescent="0.2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3:78" x14ac:dyDescent="0.2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3:78" x14ac:dyDescent="0.2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</sheetData>
  <pageMargins left="0.7" right="0.7" top="0.78740157499999996" bottom="0.78740157499999996" header="0.3" footer="0.3"/>
  <pageSetup paperSize="9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7"/>
  <sheetViews>
    <sheetView zoomScale="90" zoomScaleNormal="90" workbookViewId="0">
      <pane xSplit="2" ySplit="9" topLeftCell="C10" activePane="bottomRight" state="frozen"/>
      <selection activeCell="B7" sqref="B7:E7"/>
      <selection pane="topRight" activeCell="B7" sqref="B7:E7"/>
      <selection pane="bottomLeft" activeCell="B7" sqref="B7:E7"/>
      <selection pane="bottomRight" activeCell="B7" sqref="B7:E7"/>
    </sheetView>
  </sheetViews>
  <sheetFormatPr baseColWidth="10" defaultRowHeight="12.75" x14ac:dyDescent="0.2"/>
  <cols>
    <col min="1" max="1" width="4" style="3" customWidth="1"/>
    <col min="2" max="2" width="54" style="3" bestFit="1" customWidth="1"/>
    <col min="3" max="3" width="21" style="3" customWidth="1"/>
    <col min="4" max="4" width="20.5703125" style="38" bestFit="1" customWidth="1"/>
    <col min="5" max="16384" width="11.42578125" style="38"/>
  </cols>
  <sheetData>
    <row r="1" spans="1:5" x14ac:dyDescent="0.2">
      <c r="A1" s="82" t="s">
        <v>194</v>
      </c>
      <c r="B1"/>
      <c r="C1"/>
    </row>
    <row r="2" spans="1:5" x14ac:dyDescent="0.2">
      <c r="A2" t="s">
        <v>195</v>
      </c>
      <c r="B2"/>
      <c r="C2"/>
    </row>
    <row r="3" spans="1:5" x14ac:dyDescent="0.2">
      <c r="A3"/>
      <c r="B3"/>
      <c r="C3"/>
    </row>
    <row r="4" spans="1:5" x14ac:dyDescent="0.2">
      <c r="A4"/>
      <c r="B4"/>
      <c r="C4"/>
    </row>
    <row r="5" spans="1:5" ht="26.25" x14ac:dyDescent="0.4">
      <c r="A5" s="18" t="s">
        <v>370</v>
      </c>
      <c r="E5" s="154"/>
    </row>
    <row r="6" spans="1:5" x14ac:dyDescent="0.2">
      <c r="C6" s="19"/>
    </row>
    <row r="7" spans="1:5" x14ac:dyDescent="0.2">
      <c r="B7" s="20" t="s">
        <v>105</v>
      </c>
      <c r="C7" s="19"/>
    </row>
    <row r="8" spans="1:5" s="32" customFormat="1" x14ac:dyDescent="0.2">
      <c r="A8" s="21"/>
      <c r="B8" s="21"/>
      <c r="C8" s="21" t="s">
        <v>5</v>
      </c>
    </row>
    <row r="10" spans="1:5" s="56" customFormat="1" ht="15.75" x14ac:dyDescent="0.25">
      <c r="A10" s="22" t="s">
        <v>97</v>
      </c>
      <c r="B10" s="23" t="s">
        <v>112</v>
      </c>
      <c r="C10" s="7"/>
    </row>
    <row r="11" spans="1:5" x14ac:dyDescent="0.2">
      <c r="B11" s="24"/>
    </row>
    <row r="12" spans="1:5" x14ac:dyDescent="0.2">
      <c r="B12" s="28" t="s">
        <v>113</v>
      </c>
      <c r="C12" s="5">
        <v>10000000</v>
      </c>
    </row>
    <row r="13" spans="1:5" s="32" customFormat="1" x14ac:dyDescent="0.2">
      <c r="A13" s="30"/>
      <c r="B13" s="30" t="s">
        <v>114</v>
      </c>
      <c r="C13" s="36">
        <v>6000000</v>
      </c>
    </row>
    <row r="14" spans="1:5" x14ac:dyDescent="0.2">
      <c r="C14" s="5"/>
    </row>
    <row r="15" spans="1:5" x14ac:dyDescent="0.2">
      <c r="B15" s="3" t="s">
        <v>116</v>
      </c>
      <c r="C15" s="5">
        <v>101.7</v>
      </c>
      <c r="D15" s="38" t="s">
        <v>115</v>
      </c>
    </row>
    <row r="16" spans="1:5" x14ac:dyDescent="0.2">
      <c r="B16" s="38" t="s">
        <v>371</v>
      </c>
      <c r="C16" s="5">
        <v>106.9</v>
      </c>
    </row>
    <row r="17" spans="1:3" x14ac:dyDescent="0.2">
      <c r="C17" s="5"/>
    </row>
    <row r="18" spans="1:3" x14ac:dyDescent="0.2">
      <c r="A18" s="38"/>
      <c r="B18" s="147" t="s">
        <v>193</v>
      </c>
      <c r="C18" s="148">
        <f>ROUND((C12+C13)/C15*C16,-2)</f>
        <v>16818100</v>
      </c>
    </row>
    <row r="19" spans="1:3" x14ac:dyDescent="0.2">
      <c r="C19" s="5"/>
    </row>
    <row r="20" spans="1:3" x14ac:dyDescent="0.2">
      <c r="C20" s="5"/>
    </row>
    <row r="21" spans="1:3" x14ac:dyDescent="0.2">
      <c r="C21" s="5"/>
    </row>
    <row r="22" spans="1:3" x14ac:dyDescent="0.2">
      <c r="C22" s="5"/>
    </row>
    <row r="23" spans="1:3" x14ac:dyDescent="0.2">
      <c r="C23" s="5"/>
    </row>
    <row r="24" spans="1:3" x14ac:dyDescent="0.2">
      <c r="C24" s="5"/>
    </row>
    <row r="25" spans="1:3" x14ac:dyDescent="0.2">
      <c r="C25" s="5"/>
    </row>
    <row r="26" spans="1:3" x14ac:dyDescent="0.2">
      <c r="C26" s="5"/>
    </row>
    <row r="27" spans="1:3" x14ac:dyDescent="0.2">
      <c r="C27" s="5"/>
    </row>
    <row r="28" spans="1:3" x14ac:dyDescent="0.2">
      <c r="C28" s="5"/>
    </row>
    <row r="29" spans="1:3" x14ac:dyDescent="0.2">
      <c r="C29" s="5"/>
    </row>
    <row r="30" spans="1:3" x14ac:dyDescent="0.2">
      <c r="C30" s="5"/>
    </row>
    <row r="31" spans="1:3" x14ac:dyDescent="0.2">
      <c r="C31" s="5"/>
    </row>
    <row r="32" spans="1:3" x14ac:dyDescent="0.2">
      <c r="C32" s="5"/>
    </row>
    <row r="33" spans="3:3" x14ac:dyDescent="0.2">
      <c r="C33" s="5"/>
    </row>
    <row r="34" spans="3:3" x14ac:dyDescent="0.2">
      <c r="C34" s="5"/>
    </row>
    <row r="35" spans="3:3" x14ac:dyDescent="0.2">
      <c r="C35" s="5"/>
    </row>
    <row r="36" spans="3:3" x14ac:dyDescent="0.2">
      <c r="C36" s="5"/>
    </row>
    <row r="37" spans="3:3" x14ac:dyDescent="0.2">
      <c r="C37" s="5"/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DJ84"/>
  <sheetViews>
    <sheetView zoomScaleNormal="100" workbookViewId="0">
      <selection activeCell="B7" sqref="B7:E7"/>
    </sheetView>
  </sheetViews>
  <sheetFormatPr baseColWidth="10" defaultRowHeight="12.75" x14ac:dyDescent="0.2"/>
  <cols>
    <col min="1" max="1" width="4" style="3" customWidth="1"/>
    <col min="2" max="2" width="20.5703125" style="3" bestFit="1" customWidth="1"/>
    <col min="3" max="8" width="17.140625" style="3" customWidth="1"/>
    <col min="9" max="18" width="21" style="3" customWidth="1"/>
    <col min="19" max="19" width="22.7109375" style="3" bestFit="1" customWidth="1"/>
    <col min="20" max="36" width="21" style="3" customWidth="1"/>
    <col min="37" max="444" width="11.42578125" style="38"/>
    <col min="445" max="16001" width="11.42578125" style="3"/>
    <col min="16002" max="16384" width="11.42578125" style="38"/>
  </cols>
  <sheetData>
    <row r="1" spans="1:780 1062:5519 16002:16338" x14ac:dyDescent="0.2">
      <c r="A1" s="82" t="s">
        <v>194</v>
      </c>
      <c r="B1"/>
      <c r="C1"/>
      <c r="D1"/>
      <c r="E1"/>
      <c r="F1"/>
      <c r="G1"/>
    </row>
    <row r="2" spans="1:780 1062:5519 16002:16338" x14ac:dyDescent="0.2">
      <c r="A2" t="s">
        <v>195</v>
      </c>
      <c r="B2"/>
      <c r="C2"/>
      <c r="D2"/>
      <c r="E2"/>
      <c r="F2"/>
      <c r="G2"/>
    </row>
    <row r="3" spans="1:780 1062:5519 16002:16338" x14ac:dyDescent="0.2">
      <c r="A3"/>
      <c r="B3"/>
      <c r="C3"/>
      <c r="D3"/>
      <c r="E3"/>
      <c r="F3"/>
      <c r="G3"/>
    </row>
    <row r="4" spans="1:780 1062:5519 16002:16338" x14ac:dyDescent="0.2">
      <c r="A4"/>
      <c r="B4"/>
      <c r="C4"/>
      <c r="D4"/>
      <c r="E4"/>
      <c r="F4"/>
      <c r="G4"/>
    </row>
    <row r="5" spans="1:780 1062:5519 16002:16338" ht="26.25" x14ac:dyDescent="0.4">
      <c r="A5" s="18" t="s">
        <v>390</v>
      </c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</row>
    <row r="6" spans="1:780 1062:5519 16002:16338" s="3" customFormat="1" x14ac:dyDescent="0.2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WQL6" s="38"/>
      <c r="WQM6" s="38"/>
      <c r="WQN6" s="38"/>
      <c r="WQO6" s="38"/>
      <c r="WQP6" s="38"/>
      <c r="WQQ6" s="38"/>
      <c r="WQR6" s="38"/>
      <c r="WQS6" s="38"/>
      <c r="WQT6" s="38"/>
      <c r="WQU6" s="38"/>
      <c r="WQV6" s="38"/>
      <c r="WQW6" s="38"/>
      <c r="WQX6" s="38"/>
      <c r="WQY6" s="38"/>
      <c r="WQZ6" s="38"/>
      <c r="WRA6" s="38"/>
      <c r="WRB6" s="38"/>
      <c r="WRC6" s="38"/>
      <c r="WRD6" s="38"/>
      <c r="WRE6" s="38"/>
      <c r="WRF6" s="38"/>
      <c r="WRG6" s="38"/>
      <c r="WRH6" s="38"/>
      <c r="WRI6" s="38"/>
      <c r="WRJ6" s="38"/>
      <c r="WRK6" s="38"/>
      <c r="WRL6" s="38"/>
      <c r="WRM6" s="38"/>
      <c r="WRN6" s="38"/>
      <c r="WRO6" s="38"/>
      <c r="WRP6" s="38"/>
      <c r="WRQ6" s="38"/>
      <c r="WRR6" s="38"/>
      <c r="WRS6" s="38"/>
      <c r="WRT6" s="38"/>
      <c r="WRU6" s="38"/>
      <c r="WRV6" s="38"/>
      <c r="WRW6" s="38"/>
      <c r="WRX6" s="38"/>
      <c r="WRY6" s="38"/>
      <c r="WRZ6" s="38"/>
      <c r="WSA6" s="38"/>
      <c r="WSB6" s="38"/>
      <c r="WSC6" s="38"/>
      <c r="WSD6" s="38"/>
      <c r="WSE6" s="38"/>
      <c r="WSF6" s="38"/>
      <c r="WSG6" s="38"/>
      <c r="WSH6" s="38"/>
      <c r="WSI6" s="38"/>
      <c r="WSJ6" s="38"/>
      <c r="WSK6" s="38"/>
      <c r="WSL6" s="38"/>
      <c r="WSM6" s="38"/>
      <c r="WSN6" s="38"/>
      <c r="WSO6" s="38"/>
      <c r="WSP6" s="38"/>
      <c r="WSQ6" s="38"/>
      <c r="WSR6" s="38"/>
      <c r="WSS6" s="38"/>
      <c r="WST6" s="38"/>
      <c r="WSU6" s="38"/>
      <c r="WSV6" s="38"/>
      <c r="WSW6" s="38"/>
      <c r="WSX6" s="38"/>
      <c r="WSY6" s="38"/>
      <c r="WSZ6" s="38"/>
      <c r="WTA6" s="38"/>
      <c r="WTB6" s="38"/>
      <c r="WTC6" s="38"/>
      <c r="WTD6" s="38"/>
      <c r="WTE6" s="38"/>
      <c r="WTF6" s="38"/>
      <c r="WTG6" s="38"/>
      <c r="WTH6" s="38"/>
      <c r="WTI6" s="38"/>
      <c r="WTJ6" s="38"/>
      <c r="WTK6" s="38"/>
      <c r="WTL6" s="38"/>
      <c r="WTM6" s="38"/>
      <c r="WTN6" s="38"/>
      <c r="WTO6" s="38"/>
      <c r="WTP6" s="38"/>
      <c r="WTQ6" s="38"/>
      <c r="WTR6" s="38"/>
      <c r="WTS6" s="38"/>
      <c r="WTT6" s="38"/>
      <c r="WTU6" s="38"/>
      <c r="WTV6" s="38"/>
      <c r="WTW6" s="38"/>
      <c r="WTX6" s="38"/>
      <c r="WTY6" s="38"/>
      <c r="WTZ6" s="38"/>
      <c r="WUA6" s="38"/>
      <c r="WUB6" s="38"/>
      <c r="WUC6" s="38"/>
      <c r="WUD6" s="38"/>
      <c r="WUE6" s="38"/>
      <c r="WUF6" s="38"/>
      <c r="WUG6" s="38"/>
      <c r="WUH6" s="38"/>
      <c r="WUI6" s="38"/>
      <c r="WUJ6" s="38"/>
      <c r="WUK6" s="38"/>
      <c r="WUL6" s="38"/>
      <c r="WUM6" s="38"/>
      <c r="WUN6" s="38"/>
      <c r="WUO6" s="38"/>
      <c r="WUP6" s="38"/>
      <c r="WUQ6" s="38"/>
      <c r="WUR6" s="38"/>
      <c r="WUS6" s="38"/>
      <c r="WUT6" s="38"/>
      <c r="WUU6" s="38"/>
      <c r="WUV6" s="38"/>
      <c r="WUW6" s="38"/>
      <c r="WUX6" s="38"/>
      <c r="WUY6" s="38"/>
      <c r="WUZ6" s="38"/>
      <c r="WVA6" s="38"/>
      <c r="WVB6" s="38"/>
      <c r="WVC6" s="38"/>
      <c r="WVD6" s="38"/>
      <c r="WVE6" s="38"/>
      <c r="WVF6" s="38"/>
      <c r="WVG6" s="38"/>
      <c r="WVH6" s="38"/>
      <c r="WVI6" s="38"/>
      <c r="WVJ6" s="38"/>
      <c r="WVK6" s="38"/>
      <c r="WVL6" s="38"/>
      <c r="WVM6" s="38"/>
      <c r="WVN6" s="38"/>
      <c r="WVO6" s="38"/>
      <c r="WVP6" s="38"/>
      <c r="WVQ6" s="38"/>
      <c r="WVR6" s="38"/>
      <c r="WVS6" s="38"/>
      <c r="WVT6" s="38"/>
      <c r="WVU6" s="38"/>
      <c r="WVV6" s="38"/>
      <c r="WVW6" s="38"/>
      <c r="WVX6" s="38"/>
      <c r="WVY6" s="38"/>
      <c r="WVZ6" s="38"/>
      <c r="WWA6" s="38"/>
      <c r="WWB6" s="38"/>
      <c r="WWC6" s="38"/>
      <c r="WWD6" s="38"/>
      <c r="WWE6" s="38"/>
      <c r="WWF6" s="38"/>
      <c r="WWG6" s="38"/>
      <c r="WWH6" s="38"/>
      <c r="WWI6" s="38"/>
      <c r="WWJ6" s="38"/>
      <c r="WWK6" s="38"/>
      <c r="WWL6" s="38"/>
      <c r="WWM6" s="38"/>
      <c r="WWN6" s="38"/>
      <c r="WWO6" s="38"/>
      <c r="WWP6" s="38"/>
      <c r="WWQ6" s="38"/>
      <c r="WWR6" s="38"/>
      <c r="WWS6" s="38"/>
      <c r="WWT6" s="38"/>
      <c r="WWU6" s="38"/>
      <c r="WWV6" s="38"/>
      <c r="WWW6" s="38"/>
      <c r="WWX6" s="38"/>
      <c r="WWY6" s="38"/>
      <c r="WWZ6" s="38"/>
      <c r="WXA6" s="38"/>
      <c r="WXB6" s="38"/>
      <c r="WXC6" s="38"/>
      <c r="WXD6" s="38"/>
      <c r="WXE6" s="38"/>
      <c r="WXF6" s="38"/>
      <c r="WXG6" s="38"/>
      <c r="WXH6" s="38"/>
      <c r="WXI6" s="38"/>
      <c r="WXJ6" s="38"/>
      <c r="WXK6" s="38"/>
      <c r="WXL6" s="38"/>
      <c r="WXM6" s="38"/>
      <c r="WXN6" s="38"/>
      <c r="WXO6" s="38"/>
      <c r="WXP6" s="38"/>
      <c r="WXQ6" s="38"/>
      <c r="WXR6" s="38"/>
      <c r="WXS6" s="38"/>
      <c r="WXT6" s="38"/>
      <c r="WXU6" s="38"/>
      <c r="WXV6" s="38"/>
      <c r="WXW6" s="38"/>
      <c r="WXX6" s="38"/>
      <c r="WXY6" s="38"/>
      <c r="WXZ6" s="38"/>
      <c r="WYA6" s="38"/>
      <c r="WYB6" s="38"/>
      <c r="WYC6" s="38"/>
      <c r="WYD6" s="38"/>
      <c r="WYE6" s="38"/>
      <c r="WYF6" s="38"/>
      <c r="WYG6" s="38"/>
      <c r="WYH6" s="38"/>
      <c r="WYI6" s="38"/>
      <c r="WYJ6" s="38"/>
      <c r="WYK6" s="38"/>
      <c r="WYL6" s="38"/>
      <c r="WYM6" s="38"/>
      <c r="WYN6" s="38"/>
      <c r="WYO6" s="38"/>
      <c r="WYP6" s="38"/>
      <c r="WYQ6" s="38"/>
      <c r="WYR6" s="38"/>
      <c r="WYS6" s="38"/>
      <c r="WYT6" s="38"/>
      <c r="WYU6" s="38"/>
      <c r="WYV6" s="38"/>
      <c r="WYW6" s="38"/>
      <c r="WYX6" s="38"/>
      <c r="WYY6" s="38"/>
      <c r="WYZ6" s="38"/>
      <c r="WZA6" s="38"/>
      <c r="WZB6" s="38"/>
      <c r="WZC6" s="38"/>
      <c r="WZD6" s="38"/>
      <c r="WZE6" s="38"/>
      <c r="WZF6" s="38"/>
      <c r="WZG6" s="38"/>
      <c r="WZH6" s="38"/>
      <c r="WZI6" s="38"/>
      <c r="WZJ6" s="38"/>
      <c r="WZK6" s="38"/>
      <c r="WZL6" s="38"/>
      <c r="WZM6" s="38"/>
      <c r="WZN6" s="38"/>
      <c r="WZO6" s="38"/>
      <c r="WZP6" s="38"/>
      <c r="WZQ6" s="38"/>
      <c r="WZR6" s="38"/>
      <c r="WZS6" s="38"/>
      <c r="WZT6" s="38"/>
      <c r="WZU6" s="38"/>
      <c r="WZV6" s="38"/>
      <c r="WZW6" s="38"/>
      <c r="WZX6" s="38"/>
      <c r="WZY6" s="38"/>
      <c r="WZZ6" s="38"/>
      <c r="XAA6" s="38"/>
      <c r="XAB6" s="38"/>
      <c r="XAC6" s="38"/>
      <c r="XAD6" s="38"/>
      <c r="XAE6" s="38"/>
      <c r="XAF6" s="38"/>
      <c r="XAG6" s="38"/>
      <c r="XAH6" s="38"/>
      <c r="XAI6" s="38"/>
      <c r="XAJ6" s="38"/>
      <c r="XAK6" s="38"/>
      <c r="XAL6" s="38"/>
      <c r="XAM6" s="38"/>
      <c r="XAN6" s="38"/>
      <c r="XAO6" s="38"/>
      <c r="XAP6" s="38"/>
      <c r="XAQ6" s="38"/>
      <c r="XAR6" s="38"/>
      <c r="XAS6" s="38"/>
      <c r="XAT6" s="38"/>
      <c r="XAU6" s="38"/>
      <c r="XAV6" s="38"/>
      <c r="XAW6" s="38"/>
      <c r="XAX6" s="38"/>
      <c r="XAY6" s="38"/>
      <c r="XAZ6" s="38"/>
      <c r="XBA6" s="38"/>
      <c r="XBB6" s="38"/>
      <c r="XBC6" s="38"/>
      <c r="XBD6" s="38"/>
      <c r="XBE6" s="38"/>
      <c r="XBF6" s="38"/>
      <c r="XBG6" s="38"/>
      <c r="XBH6" s="38"/>
      <c r="XBI6" s="38"/>
      <c r="XBJ6" s="38"/>
      <c r="XBK6" s="38"/>
      <c r="XBL6" s="38"/>
      <c r="XBM6" s="38"/>
      <c r="XBN6" s="38"/>
      <c r="XBO6" s="38"/>
      <c r="XBP6" s="38"/>
      <c r="XBQ6" s="38"/>
      <c r="XBR6" s="38"/>
      <c r="XBS6" s="38"/>
      <c r="XBT6" s="38"/>
      <c r="XBU6" s="38"/>
      <c r="XBV6" s="38"/>
      <c r="XBW6" s="38"/>
      <c r="XBX6" s="38"/>
      <c r="XBY6" s="38"/>
      <c r="XBZ6" s="38"/>
      <c r="XCA6" s="38"/>
      <c r="XCB6" s="38"/>
      <c r="XCC6" s="38"/>
      <c r="XCD6" s="38"/>
      <c r="XCE6" s="38"/>
      <c r="XCF6" s="38"/>
      <c r="XCG6" s="38"/>
      <c r="XCH6" s="38"/>
      <c r="XCI6" s="38"/>
      <c r="XCJ6" s="38"/>
      <c r="XCK6" s="38"/>
      <c r="XCL6" s="38"/>
      <c r="XCM6" s="38"/>
      <c r="XCN6" s="38"/>
      <c r="XCO6" s="38"/>
      <c r="XCP6" s="38"/>
      <c r="XCQ6" s="38"/>
      <c r="XCR6" s="38"/>
      <c r="XCS6" s="38"/>
      <c r="XCT6" s="38"/>
      <c r="XCU6" s="38"/>
      <c r="XCV6" s="38"/>
      <c r="XCW6" s="38"/>
      <c r="XCX6" s="38"/>
      <c r="XCY6" s="38"/>
      <c r="XCZ6" s="38"/>
      <c r="XDA6" s="38"/>
      <c r="XDB6" s="38"/>
      <c r="XDC6" s="38"/>
      <c r="XDD6" s="38"/>
      <c r="XDE6" s="38"/>
      <c r="XDF6" s="38"/>
      <c r="XDG6" s="38"/>
      <c r="XDH6" s="38"/>
      <c r="XDI6" s="38"/>
      <c r="XDJ6" s="38"/>
    </row>
    <row r="7" spans="1:780 1062:5519 16002:16338" s="3" customFormat="1" ht="38.25" customHeight="1" x14ac:dyDescent="0.2">
      <c r="A7" s="105" t="s">
        <v>211</v>
      </c>
      <c r="B7" s="113" t="s">
        <v>212</v>
      </c>
      <c r="C7" s="107" t="s">
        <v>206</v>
      </c>
      <c r="D7" s="108" t="s">
        <v>207</v>
      </c>
      <c r="E7" s="191" t="s">
        <v>209</v>
      </c>
      <c r="F7" s="107" t="s">
        <v>208</v>
      </c>
      <c r="G7" s="108" t="s">
        <v>210</v>
      </c>
      <c r="H7" s="108" t="s">
        <v>79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H7" s="5"/>
      <c r="AI7" s="5"/>
      <c r="AJ7" s="5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  <c r="IW7" s="38"/>
      <c r="IX7" s="38"/>
      <c r="IY7" s="38"/>
      <c r="IZ7" s="38"/>
      <c r="JA7" s="38"/>
      <c r="JB7" s="38"/>
      <c r="JC7" s="38"/>
      <c r="JD7" s="38"/>
      <c r="JE7" s="38"/>
      <c r="JF7" s="38"/>
      <c r="JG7" s="38"/>
      <c r="JH7" s="38"/>
      <c r="JI7" s="38"/>
      <c r="JJ7" s="38"/>
      <c r="JK7" s="38"/>
      <c r="JL7" s="38"/>
      <c r="JM7" s="38"/>
      <c r="JN7" s="38"/>
      <c r="JO7" s="38"/>
      <c r="JP7" s="38"/>
      <c r="JQ7" s="38"/>
      <c r="JR7" s="38"/>
      <c r="JS7" s="38"/>
      <c r="JT7" s="38"/>
      <c r="JU7" s="38"/>
      <c r="JV7" s="38"/>
      <c r="JW7" s="38"/>
      <c r="JX7" s="38"/>
      <c r="JY7" s="38"/>
      <c r="JZ7" s="38"/>
      <c r="KA7" s="38"/>
      <c r="KB7" s="38"/>
      <c r="KC7" s="38"/>
      <c r="KD7" s="38"/>
      <c r="KE7" s="38"/>
      <c r="KF7" s="38"/>
      <c r="KG7" s="38"/>
      <c r="KH7" s="38"/>
      <c r="KI7" s="38"/>
      <c r="KJ7" s="38"/>
      <c r="KK7" s="38"/>
      <c r="KL7" s="38"/>
      <c r="KM7" s="38"/>
      <c r="KN7" s="38"/>
      <c r="KO7" s="38"/>
      <c r="KP7" s="38"/>
      <c r="KQ7" s="38"/>
      <c r="KR7" s="38"/>
      <c r="KS7" s="38"/>
      <c r="KT7" s="38"/>
      <c r="KU7" s="38"/>
      <c r="KV7" s="38"/>
      <c r="KW7" s="38"/>
      <c r="KX7" s="38"/>
      <c r="KY7" s="38"/>
      <c r="KZ7" s="38"/>
      <c r="LA7" s="38"/>
      <c r="LB7" s="38"/>
      <c r="LC7" s="38"/>
      <c r="LD7" s="38"/>
      <c r="LE7" s="38"/>
      <c r="LF7" s="38"/>
      <c r="LG7" s="38"/>
      <c r="LH7" s="38"/>
      <c r="LI7" s="38"/>
      <c r="LJ7" s="38"/>
      <c r="LK7" s="38"/>
      <c r="LL7" s="38"/>
      <c r="LM7" s="38"/>
      <c r="LN7" s="38"/>
      <c r="LO7" s="38"/>
      <c r="LP7" s="38"/>
      <c r="LQ7" s="38"/>
      <c r="LR7" s="38"/>
      <c r="LS7" s="38"/>
      <c r="LT7" s="38"/>
      <c r="LU7" s="38"/>
      <c r="LV7" s="38"/>
      <c r="LW7" s="38"/>
      <c r="LX7" s="38"/>
      <c r="LY7" s="38"/>
      <c r="LZ7" s="38"/>
      <c r="MA7" s="38"/>
      <c r="MB7" s="38"/>
      <c r="MC7" s="38"/>
      <c r="MD7" s="38"/>
      <c r="ME7" s="38"/>
      <c r="MF7" s="38"/>
      <c r="MG7" s="38"/>
      <c r="MH7" s="38"/>
      <c r="MI7" s="38"/>
      <c r="MJ7" s="38"/>
      <c r="MK7" s="38"/>
      <c r="ML7" s="38"/>
      <c r="MM7" s="38"/>
      <c r="MN7" s="38"/>
      <c r="MO7" s="38"/>
      <c r="MP7" s="38"/>
      <c r="MQ7" s="38"/>
      <c r="MR7" s="38"/>
      <c r="MS7" s="38"/>
      <c r="MT7" s="38"/>
      <c r="MU7" s="38"/>
      <c r="MV7" s="38"/>
      <c r="MW7" s="38"/>
      <c r="MX7" s="38"/>
      <c r="MY7" s="38"/>
      <c r="MZ7" s="38"/>
      <c r="NA7" s="38"/>
      <c r="NB7" s="38"/>
      <c r="NC7" s="38"/>
      <c r="ND7" s="38"/>
      <c r="NE7" s="38"/>
      <c r="NF7" s="38"/>
      <c r="NG7" s="38"/>
      <c r="NH7" s="38"/>
      <c r="NI7" s="38"/>
      <c r="NJ7" s="38"/>
      <c r="NK7" s="38"/>
      <c r="NL7" s="38"/>
      <c r="NM7" s="38"/>
      <c r="NN7" s="38"/>
      <c r="NO7" s="38"/>
      <c r="NP7" s="38"/>
      <c r="NQ7" s="38"/>
      <c r="NR7" s="38"/>
      <c r="NS7" s="38"/>
      <c r="NT7" s="38"/>
      <c r="NU7" s="38"/>
      <c r="NV7" s="38"/>
      <c r="NW7" s="38"/>
      <c r="NX7" s="38"/>
      <c r="NY7" s="38"/>
      <c r="NZ7" s="38"/>
      <c r="OA7" s="38"/>
      <c r="OB7" s="38"/>
      <c r="OC7" s="38"/>
      <c r="OD7" s="38"/>
      <c r="OE7" s="38"/>
      <c r="OF7" s="38"/>
      <c r="OG7" s="38"/>
      <c r="OH7" s="38"/>
      <c r="OI7" s="38"/>
      <c r="OJ7" s="38"/>
      <c r="OK7" s="38"/>
      <c r="OL7" s="38"/>
      <c r="OM7" s="38"/>
      <c r="ON7" s="38"/>
      <c r="OO7" s="38"/>
      <c r="OP7" s="38"/>
      <c r="OQ7" s="38"/>
      <c r="OR7" s="38"/>
      <c r="OS7" s="38"/>
      <c r="OT7" s="38"/>
      <c r="OU7" s="38"/>
      <c r="OV7" s="38"/>
      <c r="OW7" s="38"/>
      <c r="OX7" s="38"/>
      <c r="OY7" s="38"/>
      <c r="OZ7" s="38"/>
      <c r="PA7" s="38"/>
      <c r="PB7" s="38"/>
      <c r="PC7" s="38"/>
      <c r="PD7" s="38"/>
      <c r="PE7" s="38"/>
      <c r="PF7" s="38"/>
      <c r="PG7" s="38"/>
      <c r="PH7" s="38"/>
      <c r="PI7" s="38"/>
      <c r="PJ7" s="38"/>
      <c r="PK7" s="38"/>
      <c r="PL7" s="38"/>
      <c r="PM7" s="38"/>
      <c r="PN7" s="38"/>
      <c r="PO7" s="38"/>
      <c r="PP7" s="38"/>
      <c r="PQ7" s="38"/>
      <c r="PR7" s="38"/>
      <c r="PS7" s="38"/>
      <c r="PT7" s="38"/>
      <c r="PU7" s="38"/>
      <c r="PV7" s="38"/>
      <c r="PW7" s="38"/>
      <c r="PX7" s="38"/>
      <c r="PY7" s="38"/>
      <c r="PZ7" s="38"/>
      <c r="QA7" s="38"/>
      <c r="QB7" s="38"/>
      <c r="WQL7" s="38"/>
      <c r="WQM7" s="38"/>
      <c r="WQN7" s="38"/>
      <c r="WQO7" s="38"/>
      <c r="WQP7" s="38"/>
      <c r="WQQ7" s="38"/>
      <c r="WQR7" s="38"/>
      <c r="WQS7" s="38"/>
      <c r="WQT7" s="38"/>
      <c r="WQU7" s="38"/>
      <c r="WQV7" s="38"/>
      <c r="WQW7" s="38"/>
      <c r="WQX7" s="38"/>
      <c r="WQY7" s="38"/>
      <c r="WQZ7" s="38"/>
      <c r="WRA7" s="38"/>
      <c r="WRB7" s="38"/>
      <c r="WRC7" s="38"/>
      <c r="WRD7" s="38"/>
      <c r="WRE7" s="38"/>
      <c r="WRF7" s="38"/>
      <c r="WRG7" s="38"/>
      <c r="WRH7" s="38"/>
      <c r="WRI7" s="38"/>
      <c r="WRJ7" s="38"/>
      <c r="WRK7" s="38"/>
      <c r="WRL7" s="38"/>
      <c r="WRM7" s="38"/>
      <c r="WRN7" s="38"/>
      <c r="WRO7" s="38"/>
      <c r="WRP7" s="38"/>
      <c r="WRQ7" s="38"/>
      <c r="WRR7" s="38"/>
      <c r="WRS7" s="38"/>
      <c r="WRT7" s="38"/>
      <c r="WRU7" s="38"/>
      <c r="WRV7" s="38"/>
      <c r="WRW7" s="38"/>
      <c r="WRX7" s="38"/>
      <c r="WRY7" s="38"/>
      <c r="WRZ7" s="38"/>
      <c r="WSA7" s="38"/>
      <c r="WSB7" s="38"/>
      <c r="WSC7" s="38"/>
      <c r="WSD7" s="38"/>
      <c r="WSE7" s="38"/>
      <c r="WSF7" s="38"/>
      <c r="WSG7" s="38"/>
      <c r="WSH7" s="38"/>
      <c r="WSI7" s="38"/>
      <c r="WSJ7" s="38"/>
      <c r="WSK7" s="38"/>
      <c r="WSL7" s="38"/>
      <c r="WSM7" s="38"/>
      <c r="WSN7" s="38"/>
      <c r="WSO7" s="38"/>
      <c r="WSP7" s="38"/>
      <c r="WSQ7" s="38"/>
      <c r="WSR7" s="38"/>
      <c r="WSS7" s="38"/>
      <c r="WST7" s="38"/>
      <c r="WSU7" s="38"/>
      <c r="WSV7" s="38"/>
      <c r="WSW7" s="38"/>
      <c r="WSX7" s="38"/>
      <c r="WSY7" s="38"/>
      <c r="WSZ7" s="38"/>
      <c r="WTA7" s="38"/>
      <c r="WTB7" s="38"/>
      <c r="WTC7" s="38"/>
      <c r="WTD7" s="38"/>
      <c r="WTE7" s="38"/>
      <c r="WTF7" s="38"/>
      <c r="WTG7" s="38"/>
      <c r="WTH7" s="38"/>
      <c r="WTI7" s="38"/>
      <c r="WTJ7" s="38"/>
      <c r="WTK7" s="38"/>
      <c r="WTL7" s="38"/>
      <c r="WTM7" s="38"/>
      <c r="WTN7" s="38"/>
      <c r="WTO7" s="38"/>
      <c r="WTP7" s="38"/>
      <c r="WTQ7" s="38"/>
      <c r="WTR7" s="38"/>
      <c r="WTS7" s="38"/>
      <c r="WTT7" s="38"/>
      <c r="WTU7" s="38"/>
      <c r="WTV7" s="38"/>
      <c r="WTW7" s="38"/>
      <c r="WTX7" s="38"/>
      <c r="WTY7" s="38"/>
      <c r="WTZ7" s="38"/>
      <c r="WUA7" s="38"/>
      <c r="WUB7" s="38"/>
      <c r="WUC7" s="38"/>
      <c r="WUD7" s="38"/>
      <c r="WUE7" s="38"/>
      <c r="WUF7" s="38"/>
      <c r="WUG7" s="38"/>
      <c r="WUH7" s="38"/>
      <c r="WUI7" s="38"/>
      <c r="WUJ7" s="38"/>
      <c r="WUK7" s="38"/>
      <c r="WUL7" s="38"/>
      <c r="WUM7" s="38"/>
      <c r="WUN7" s="38"/>
      <c r="WUO7" s="38"/>
      <c r="WUP7" s="38"/>
      <c r="WUQ7" s="38"/>
      <c r="WUR7" s="38"/>
      <c r="WUS7" s="38"/>
      <c r="WUT7" s="38"/>
      <c r="WUU7" s="38"/>
      <c r="WUV7" s="38"/>
      <c r="WUW7" s="38"/>
      <c r="WUX7" s="38"/>
      <c r="WUY7" s="38"/>
      <c r="WUZ7" s="38"/>
      <c r="WVA7" s="38"/>
      <c r="WVB7" s="38"/>
      <c r="WVC7" s="38"/>
      <c r="WVD7" s="38"/>
      <c r="WVE7" s="38"/>
      <c r="WVF7" s="38"/>
      <c r="WVG7" s="38"/>
      <c r="WVH7" s="38"/>
      <c r="WVI7" s="38"/>
      <c r="WVJ7" s="38"/>
      <c r="WVK7" s="38"/>
      <c r="WVL7" s="38"/>
      <c r="WVM7" s="38"/>
      <c r="WVN7" s="38"/>
      <c r="WVO7" s="38"/>
      <c r="WVP7" s="38"/>
      <c r="WVQ7" s="38"/>
      <c r="WVR7" s="38"/>
      <c r="WVS7" s="38"/>
      <c r="WVT7" s="38"/>
      <c r="WVU7" s="38"/>
      <c r="WVV7" s="38"/>
      <c r="WVW7" s="38"/>
      <c r="WVX7" s="38"/>
      <c r="WVY7" s="38"/>
      <c r="WVZ7" s="38"/>
      <c r="WWA7" s="38"/>
      <c r="WWB7" s="38"/>
      <c r="WWC7" s="38"/>
      <c r="WWD7" s="38"/>
      <c r="WWE7" s="38"/>
      <c r="WWF7" s="38"/>
      <c r="WWG7" s="38"/>
      <c r="WWH7" s="38"/>
      <c r="WWI7" s="38"/>
      <c r="WWJ7" s="38"/>
      <c r="WWK7" s="38"/>
      <c r="WWL7" s="38"/>
      <c r="WWM7" s="38"/>
      <c r="WWN7" s="38"/>
      <c r="WWO7" s="38"/>
      <c r="WWP7" s="38"/>
      <c r="WWQ7" s="38"/>
      <c r="WWR7" s="38"/>
      <c r="WWS7" s="38"/>
      <c r="WWT7" s="38"/>
      <c r="WWU7" s="38"/>
      <c r="WWV7" s="38"/>
      <c r="WWW7" s="38"/>
      <c r="WWX7" s="38"/>
      <c r="WWY7" s="38"/>
      <c r="WWZ7" s="38"/>
      <c r="WXA7" s="38"/>
      <c r="WXB7" s="38"/>
      <c r="WXC7" s="38"/>
      <c r="WXD7" s="38"/>
      <c r="WXE7" s="38"/>
      <c r="WXF7" s="38"/>
      <c r="WXG7" s="38"/>
      <c r="WXH7" s="38"/>
      <c r="WXI7" s="38"/>
      <c r="WXJ7" s="38"/>
      <c r="WXK7" s="38"/>
      <c r="WXL7" s="38"/>
      <c r="WXM7" s="38"/>
      <c r="WXN7" s="38"/>
      <c r="WXO7" s="38"/>
      <c r="WXP7" s="38"/>
      <c r="WXQ7" s="38"/>
      <c r="WXR7" s="38"/>
      <c r="WXS7" s="38"/>
      <c r="WXT7" s="38"/>
      <c r="WXU7" s="38"/>
      <c r="WXV7" s="38"/>
      <c r="WXW7" s="38"/>
      <c r="WXX7" s="38"/>
      <c r="WXY7" s="38"/>
      <c r="WXZ7" s="38"/>
      <c r="WYA7" s="38"/>
      <c r="WYB7" s="38"/>
      <c r="WYC7" s="38"/>
      <c r="WYD7" s="38"/>
      <c r="WYE7" s="38"/>
      <c r="WYF7" s="38"/>
      <c r="WYG7" s="38"/>
      <c r="WYH7" s="38"/>
      <c r="WYI7" s="38"/>
      <c r="WYJ7" s="38"/>
      <c r="WYK7" s="38"/>
      <c r="WYL7" s="38"/>
      <c r="WYM7" s="38"/>
      <c r="WYN7" s="38"/>
      <c r="WYO7" s="38"/>
      <c r="WYP7" s="38"/>
      <c r="WYQ7" s="38"/>
      <c r="WYR7" s="38"/>
      <c r="WYS7" s="38"/>
      <c r="WYT7" s="38"/>
      <c r="WYU7" s="38"/>
      <c r="WYV7" s="38"/>
      <c r="WYW7" s="38"/>
      <c r="WYX7" s="38"/>
      <c r="WYY7" s="38"/>
      <c r="WYZ7" s="38"/>
      <c r="WZA7" s="38"/>
      <c r="WZB7" s="38"/>
      <c r="WZC7" s="38"/>
      <c r="WZD7" s="38"/>
      <c r="WZE7" s="38"/>
      <c r="WZF7" s="38"/>
      <c r="WZG7" s="38"/>
      <c r="WZH7" s="38"/>
      <c r="WZI7" s="38"/>
      <c r="WZJ7" s="38"/>
      <c r="WZK7" s="38"/>
      <c r="WZL7" s="38"/>
      <c r="WZM7" s="38"/>
      <c r="WZN7" s="38"/>
      <c r="WZO7" s="38"/>
      <c r="WZP7" s="38"/>
      <c r="WZQ7" s="38"/>
      <c r="WZR7" s="38"/>
      <c r="WZS7" s="38"/>
      <c r="WZT7" s="38"/>
      <c r="WZU7" s="38"/>
      <c r="WZV7" s="38"/>
      <c r="WZW7" s="38"/>
      <c r="WZX7" s="38"/>
      <c r="WZY7" s="38"/>
      <c r="WZZ7" s="38"/>
      <c r="XAA7" s="38"/>
      <c r="XAB7" s="38"/>
      <c r="XAC7" s="38"/>
      <c r="XAD7" s="38"/>
      <c r="XAE7" s="38"/>
      <c r="XAF7" s="38"/>
      <c r="XAG7" s="38"/>
      <c r="XAH7" s="38"/>
      <c r="XAI7" s="38"/>
      <c r="XAJ7" s="38"/>
      <c r="XAK7" s="38"/>
      <c r="XAL7" s="38"/>
      <c r="XAM7" s="38"/>
      <c r="XAN7" s="38"/>
      <c r="XAO7" s="38"/>
      <c r="XAP7" s="38"/>
      <c r="XAQ7" s="38"/>
      <c r="XAR7" s="38"/>
      <c r="XAS7" s="38"/>
      <c r="XAT7" s="38"/>
      <c r="XAU7" s="38"/>
      <c r="XAV7" s="38"/>
      <c r="XAW7" s="38"/>
      <c r="XAX7" s="38"/>
      <c r="XAY7" s="38"/>
      <c r="XAZ7" s="38"/>
      <c r="XBA7" s="38"/>
      <c r="XBB7" s="38"/>
      <c r="XBC7" s="38"/>
      <c r="XBD7" s="38"/>
      <c r="XBE7" s="38"/>
      <c r="XBF7" s="38"/>
      <c r="XBG7" s="38"/>
      <c r="XBH7" s="38"/>
      <c r="XBI7" s="38"/>
      <c r="XBJ7" s="38"/>
      <c r="XBK7" s="38"/>
      <c r="XBL7" s="38"/>
      <c r="XBM7" s="38"/>
      <c r="XBN7" s="38"/>
      <c r="XBO7" s="38"/>
      <c r="XBP7" s="38"/>
      <c r="XBQ7" s="38"/>
      <c r="XBR7" s="38"/>
      <c r="XBS7" s="38"/>
      <c r="XBT7" s="38"/>
      <c r="XBU7" s="38"/>
      <c r="XBV7" s="38"/>
      <c r="XBW7" s="38"/>
      <c r="XBX7" s="38"/>
      <c r="XBY7" s="38"/>
      <c r="XBZ7" s="38"/>
      <c r="XCA7" s="38"/>
      <c r="XCB7" s="38"/>
      <c r="XCC7" s="38"/>
      <c r="XCD7" s="38"/>
      <c r="XCE7" s="38"/>
      <c r="XCF7" s="38"/>
      <c r="XCG7" s="38"/>
      <c r="XCH7" s="38"/>
      <c r="XCI7" s="38"/>
      <c r="XCJ7" s="38"/>
      <c r="XCK7" s="38"/>
      <c r="XCL7" s="38"/>
      <c r="XCM7" s="38"/>
      <c r="XCN7" s="38"/>
      <c r="XCO7" s="38"/>
      <c r="XCP7" s="38"/>
      <c r="XCQ7" s="38"/>
      <c r="XCR7" s="38"/>
      <c r="XCS7" s="38"/>
      <c r="XCT7" s="38"/>
      <c r="XCU7" s="38"/>
      <c r="XCV7" s="38"/>
      <c r="XCW7" s="38"/>
      <c r="XCX7" s="38"/>
      <c r="XCY7" s="38"/>
      <c r="XCZ7" s="38"/>
      <c r="XDA7" s="38"/>
      <c r="XDB7" s="38"/>
      <c r="XDC7" s="38"/>
      <c r="XDD7" s="38"/>
      <c r="XDE7" s="38"/>
      <c r="XDF7" s="38"/>
      <c r="XDG7" s="38"/>
      <c r="XDH7" s="38"/>
      <c r="XDI7" s="38"/>
      <c r="XDJ7" s="38"/>
    </row>
    <row r="8" spans="1:780 1062:5519 16002:16338" s="3" customFormat="1" x14ac:dyDescent="0.2">
      <c r="A8" s="95">
        <v>1</v>
      </c>
      <c r="B8" s="123" t="s">
        <v>5</v>
      </c>
      <c r="C8" s="122">
        <f>HLOOKUP(B8,'Ressourcenausgleich Basis'!$C$8:$BZ$151,144,FALSE)</f>
        <v>0</v>
      </c>
      <c r="D8" s="188">
        <f>HLOOKUP(B8,'SL Weite Basis'!$C$8:$BZ$74,67,FALSE)</f>
        <v>0</v>
      </c>
      <c r="E8" s="127">
        <f>HLOOKUP(B8,'SL Schule Basis'!$C$8:$BZ$64,57,FALSE)</f>
        <v>0</v>
      </c>
      <c r="F8" s="122">
        <f>HLOOKUP(B8,'SL Sozio Basis'!$C$8:$BZ$55,48,FALSE)</f>
        <v>17156400</v>
      </c>
      <c r="G8" s="127">
        <f>'SL Stadt SG Basis'!C18</f>
        <v>16818100</v>
      </c>
      <c r="H8" s="128">
        <f t="shared" ref="H8:H39" si="0">SUM(C8:G8)</f>
        <v>33974500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  <c r="IW8" s="38"/>
      <c r="IX8" s="38"/>
      <c r="IY8" s="38"/>
      <c r="IZ8" s="38"/>
      <c r="JA8" s="38"/>
      <c r="JB8" s="38"/>
      <c r="JC8" s="38"/>
      <c r="JD8" s="38"/>
      <c r="JE8" s="38"/>
      <c r="JF8" s="38"/>
      <c r="JG8" s="38"/>
      <c r="JH8" s="38"/>
      <c r="JI8" s="38"/>
      <c r="JJ8" s="38"/>
      <c r="JK8" s="38"/>
      <c r="JL8" s="38"/>
      <c r="JM8" s="38"/>
      <c r="JN8" s="38"/>
      <c r="JO8" s="38"/>
      <c r="JP8" s="38"/>
      <c r="JQ8" s="38"/>
      <c r="JR8" s="38"/>
      <c r="JS8" s="38"/>
      <c r="JT8" s="38"/>
      <c r="JU8" s="38"/>
      <c r="JV8" s="38"/>
      <c r="JW8" s="38"/>
      <c r="JX8" s="38"/>
      <c r="JY8" s="38"/>
      <c r="JZ8" s="38"/>
      <c r="KA8" s="38"/>
      <c r="KB8" s="38"/>
      <c r="KC8" s="38"/>
      <c r="KD8" s="38"/>
      <c r="KE8" s="38"/>
      <c r="KF8" s="38"/>
      <c r="KG8" s="38"/>
      <c r="KH8" s="38"/>
      <c r="KI8" s="38"/>
      <c r="KJ8" s="38"/>
      <c r="KK8" s="38"/>
      <c r="KL8" s="38"/>
      <c r="KM8" s="38"/>
      <c r="KN8" s="38"/>
      <c r="KO8" s="38"/>
      <c r="KP8" s="38"/>
      <c r="KQ8" s="38"/>
      <c r="KR8" s="38"/>
      <c r="KS8" s="38"/>
      <c r="KT8" s="38"/>
      <c r="KU8" s="38"/>
      <c r="KV8" s="38"/>
      <c r="KW8" s="38"/>
      <c r="KX8" s="38"/>
      <c r="KY8" s="38"/>
      <c r="KZ8" s="38"/>
      <c r="LA8" s="38"/>
      <c r="LB8" s="38"/>
      <c r="LC8" s="38"/>
      <c r="LD8" s="38"/>
      <c r="LE8" s="38"/>
      <c r="LF8" s="38"/>
      <c r="LG8" s="38"/>
      <c r="LH8" s="38"/>
      <c r="LI8" s="38"/>
      <c r="LJ8" s="38"/>
      <c r="LK8" s="38"/>
      <c r="LL8" s="38"/>
      <c r="LM8" s="38"/>
      <c r="LN8" s="38"/>
      <c r="LO8" s="38"/>
      <c r="LP8" s="38"/>
      <c r="LQ8" s="38"/>
      <c r="LR8" s="38"/>
      <c r="LS8" s="38"/>
      <c r="LT8" s="38"/>
      <c r="LU8" s="38"/>
      <c r="LV8" s="38"/>
      <c r="LW8" s="38"/>
      <c r="LX8" s="38"/>
      <c r="LY8" s="38"/>
      <c r="LZ8" s="38"/>
      <c r="MA8" s="38"/>
      <c r="MB8" s="38"/>
      <c r="MC8" s="38"/>
      <c r="MD8" s="38"/>
      <c r="ME8" s="38"/>
      <c r="MF8" s="38"/>
      <c r="MG8" s="38"/>
      <c r="MH8" s="38"/>
      <c r="MI8" s="38"/>
      <c r="MJ8" s="38"/>
      <c r="MK8" s="38"/>
      <c r="ML8" s="38"/>
      <c r="MM8" s="38"/>
      <c r="MN8" s="38"/>
      <c r="MO8" s="38"/>
      <c r="MP8" s="38"/>
      <c r="MQ8" s="38"/>
      <c r="MR8" s="38"/>
      <c r="MS8" s="38"/>
      <c r="MT8" s="38"/>
      <c r="MU8" s="38"/>
      <c r="MV8" s="38"/>
      <c r="MW8" s="38"/>
      <c r="MX8" s="38"/>
      <c r="MY8" s="38"/>
      <c r="MZ8" s="38"/>
      <c r="NA8" s="38"/>
      <c r="NB8" s="38"/>
      <c r="NC8" s="38"/>
      <c r="ND8" s="38"/>
      <c r="NE8" s="38"/>
      <c r="NF8" s="38"/>
      <c r="NG8" s="38"/>
      <c r="NH8" s="38"/>
      <c r="NI8" s="38"/>
      <c r="NJ8" s="38"/>
      <c r="NK8" s="38"/>
      <c r="NL8" s="38"/>
      <c r="NM8" s="38"/>
      <c r="NN8" s="38"/>
      <c r="NO8" s="38"/>
      <c r="NP8" s="38"/>
      <c r="NQ8" s="38"/>
      <c r="NR8" s="38"/>
      <c r="NS8" s="38"/>
      <c r="NT8" s="38"/>
      <c r="NU8" s="38"/>
      <c r="NV8" s="38"/>
      <c r="NW8" s="38"/>
      <c r="NX8" s="38"/>
      <c r="NY8" s="38"/>
      <c r="NZ8" s="38"/>
      <c r="OA8" s="38"/>
      <c r="OB8" s="38"/>
      <c r="OC8" s="38"/>
      <c r="OD8" s="38"/>
      <c r="OE8" s="38"/>
      <c r="OF8" s="38"/>
      <c r="OG8" s="38"/>
      <c r="OH8" s="38"/>
      <c r="OI8" s="38"/>
      <c r="OJ8" s="38"/>
      <c r="OK8" s="38"/>
      <c r="OL8" s="38"/>
      <c r="OM8" s="38"/>
      <c r="ON8" s="38"/>
      <c r="OO8" s="38"/>
      <c r="OP8" s="38"/>
      <c r="OQ8" s="38"/>
      <c r="OR8" s="38"/>
      <c r="OS8" s="38"/>
      <c r="OT8" s="38"/>
      <c r="OU8" s="38"/>
      <c r="OV8" s="38"/>
      <c r="OW8" s="38"/>
      <c r="OX8" s="38"/>
      <c r="OY8" s="38"/>
      <c r="OZ8" s="38"/>
      <c r="PA8" s="38"/>
      <c r="PB8" s="38"/>
      <c r="PC8" s="38"/>
      <c r="PD8" s="38"/>
      <c r="PE8" s="38"/>
      <c r="PF8" s="38"/>
      <c r="PG8" s="38"/>
      <c r="PH8" s="38"/>
      <c r="PI8" s="38"/>
      <c r="PJ8" s="38"/>
      <c r="PK8" s="38"/>
      <c r="PL8" s="38"/>
      <c r="PM8" s="38"/>
      <c r="PN8" s="38"/>
      <c r="PO8" s="38"/>
      <c r="PP8" s="38"/>
      <c r="PQ8" s="38"/>
      <c r="PR8" s="38"/>
      <c r="PS8" s="38"/>
      <c r="PT8" s="38"/>
      <c r="PU8" s="38"/>
      <c r="PV8" s="38"/>
      <c r="PW8" s="38"/>
      <c r="PX8" s="38"/>
      <c r="PY8" s="38"/>
      <c r="PZ8" s="38"/>
      <c r="QA8" s="38"/>
      <c r="QB8" s="38"/>
      <c r="WQL8" s="38"/>
      <c r="WQM8" s="38"/>
      <c r="WQN8" s="38"/>
      <c r="WQO8" s="38"/>
      <c r="WQP8" s="38"/>
      <c r="WQQ8" s="38"/>
      <c r="WQR8" s="38"/>
      <c r="WQS8" s="38"/>
      <c r="WQT8" s="38"/>
      <c r="WQU8" s="38"/>
      <c r="WQV8" s="38"/>
      <c r="WQW8" s="38"/>
      <c r="WQX8" s="38"/>
      <c r="WQY8" s="38"/>
      <c r="WQZ8" s="38"/>
      <c r="WRA8" s="38"/>
      <c r="WRB8" s="38"/>
      <c r="WRC8" s="38"/>
      <c r="WRD8" s="38"/>
      <c r="WRE8" s="38"/>
      <c r="WRF8" s="38"/>
      <c r="WRG8" s="38"/>
      <c r="WRH8" s="38"/>
      <c r="WRI8" s="38"/>
      <c r="WRJ8" s="38"/>
      <c r="WRK8" s="38"/>
      <c r="WRL8" s="38"/>
      <c r="WRM8" s="38"/>
      <c r="WRN8" s="38"/>
      <c r="WRO8" s="38"/>
      <c r="WRP8" s="38"/>
      <c r="WRQ8" s="38"/>
      <c r="WRR8" s="38"/>
      <c r="WRS8" s="38"/>
      <c r="WRT8" s="38"/>
      <c r="WRU8" s="38"/>
      <c r="WRV8" s="38"/>
      <c r="WRW8" s="38"/>
      <c r="WRX8" s="38"/>
      <c r="WRY8" s="38"/>
      <c r="WRZ8" s="38"/>
      <c r="WSA8" s="38"/>
      <c r="WSB8" s="38"/>
      <c r="WSC8" s="38"/>
      <c r="WSD8" s="38"/>
      <c r="WSE8" s="38"/>
      <c r="WSF8" s="38"/>
      <c r="WSG8" s="38"/>
      <c r="WSH8" s="38"/>
      <c r="WSI8" s="38"/>
      <c r="WSJ8" s="38"/>
      <c r="WSK8" s="38"/>
      <c r="WSL8" s="38"/>
      <c r="WSM8" s="38"/>
      <c r="WSN8" s="38"/>
      <c r="WSO8" s="38"/>
      <c r="WSP8" s="38"/>
      <c r="WSQ8" s="38"/>
      <c r="WSR8" s="38"/>
      <c r="WSS8" s="38"/>
      <c r="WST8" s="38"/>
      <c r="WSU8" s="38"/>
      <c r="WSV8" s="38"/>
      <c r="WSW8" s="38"/>
      <c r="WSX8" s="38"/>
      <c r="WSY8" s="38"/>
      <c r="WSZ8" s="38"/>
      <c r="WTA8" s="38"/>
      <c r="WTB8" s="38"/>
      <c r="WTC8" s="38"/>
      <c r="WTD8" s="38"/>
      <c r="WTE8" s="38"/>
      <c r="WTF8" s="38"/>
      <c r="WTG8" s="38"/>
      <c r="WTH8" s="38"/>
      <c r="WTI8" s="38"/>
      <c r="WTJ8" s="38"/>
      <c r="WTK8" s="38"/>
      <c r="WTL8" s="38"/>
      <c r="WTM8" s="38"/>
      <c r="WTN8" s="38"/>
      <c r="WTO8" s="38"/>
      <c r="WTP8" s="38"/>
      <c r="WTQ8" s="38"/>
      <c r="WTR8" s="38"/>
      <c r="WTS8" s="38"/>
      <c r="WTT8" s="38"/>
      <c r="WTU8" s="38"/>
      <c r="WTV8" s="38"/>
      <c r="WTW8" s="38"/>
      <c r="WTX8" s="38"/>
      <c r="WTY8" s="38"/>
      <c r="WTZ8" s="38"/>
      <c r="WUA8" s="38"/>
      <c r="WUB8" s="38"/>
      <c r="WUC8" s="38"/>
      <c r="WUD8" s="38"/>
      <c r="WUE8" s="38"/>
      <c r="WUF8" s="38"/>
      <c r="WUG8" s="38"/>
      <c r="WUH8" s="38"/>
      <c r="WUI8" s="38"/>
      <c r="WUJ8" s="38"/>
      <c r="WUK8" s="38"/>
      <c r="WUL8" s="38"/>
      <c r="WUM8" s="38"/>
      <c r="WUN8" s="38"/>
      <c r="WUO8" s="38"/>
      <c r="WUP8" s="38"/>
      <c r="WUQ8" s="38"/>
      <c r="WUR8" s="38"/>
      <c r="WUS8" s="38"/>
      <c r="WUT8" s="38"/>
      <c r="WUU8" s="38"/>
      <c r="WUV8" s="38"/>
      <c r="WUW8" s="38"/>
      <c r="WUX8" s="38"/>
      <c r="WUY8" s="38"/>
      <c r="WUZ8" s="38"/>
      <c r="WVA8" s="38"/>
      <c r="WVB8" s="38"/>
      <c r="WVC8" s="38"/>
      <c r="WVD8" s="38"/>
      <c r="WVE8" s="38"/>
      <c r="WVF8" s="38"/>
      <c r="WVG8" s="38"/>
      <c r="WVH8" s="38"/>
      <c r="WVI8" s="38"/>
      <c r="WVJ8" s="38"/>
      <c r="WVK8" s="38"/>
      <c r="WVL8" s="38"/>
      <c r="WVM8" s="38"/>
      <c r="WVN8" s="38"/>
      <c r="WVO8" s="38"/>
      <c r="WVP8" s="38"/>
      <c r="WVQ8" s="38"/>
      <c r="WVR8" s="38"/>
      <c r="WVS8" s="38"/>
      <c r="WVT8" s="38"/>
      <c r="WVU8" s="38"/>
      <c r="WVV8" s="38"/>
      <c r="WVW8" s="38"/>
      <c r="WVX8" s="38"/>
      <c r="WVY8" s="38"/>
      <c r="WVZ8" s="38"/>
      <c r="WWA8" s="38"/>
      <c r="WWB8" s="38"/>
      <c r="WWC8" s="38"/>
      <c r="WWD8" s="38"/>
      <c r="WWE8" s="38"/>
      <c r="WWF8" s="38"/>
      <c r="WWG8" s="38"/>
      <c r="WWH8" s="38"/>
      <c r="WWI8" s="38"/>
      <c r="WWJ8" s="38"/>
      <c r="WWK8" s="38"/>
      <c r="WWL8" s="38"/>
      <c r="WWM8" s="38"/>
      <c r="WWN8" s="38"/>
      <c r="WWO8" s="38"/>
      <c r="WWP8" s="38"/>
      <c r="WWQ8" s="38"/>
      <c r="WWR8" s="38"/>
      <c r="WWS8" s="38"/>
      <c r="WWT8" s="38"/>
      <c r="WWU8" s="38"/>
      <c r="WWV8" s="38"/>
      <c r="WWW8" s="38"/>
      <c r="WWX8" s="38"/>
      <c r="WWY8" s="38"/>
      <c r="WWZ8" s="38"/>
      <c r="WXA8" s="38"/>
      <c r="WXB8" s="38"/>
      <c r="WXC8" s="38"/>
      <c r="WXD8" s="38"/>
      <c r="WXE8" s="38"/>
      <c r="WXF8" s="38"/>
      <c r="WXG8" s="38"/>
      <c r="WXH8" s="38"/>
      <c r="WXI8" s="38"/>
      <c r="WXJ8" s="38"/>
      <c r="WXK8" s="38"/>
      <c r="WXL8" s="38"/>
      <c r="WXM8" s="38"/>
      <c r="WXN8" s="38"/>
      <c r="WXO8" s="38"/>
      <c r="WXP8" s="38"/>
      <c r="WXQ8" s="38"/>
      <c r="WXR8" s="38"/>
      <c r="WXS8" s="38"/>
      <c r="WXT8" s="38"/>
      <c r="WXU8" s="38"/>
      <c r="WXV8" s="38"/>
      <c r="WXW8" s="38"/>
      <c r="WXX8" s="38"/>
      <c r="WXY8" s="38"/>
      <c r="WXZ8" s="38"/>
      <c r="WYA8" s="38"/>
      <c r="WYB8" s="38"/>
      <c r="WYC8" s="38"/>
      <c r="WYD8" s="38"/>
      <c r="WYE8" s="38"/>
      <c r="WYF8" s="38"/>
      <c r="WYG8" s="38"/>
      <c r="WYH8" s="38"/>
      <c r="WYI8" s="38"/>
      <c r="WYJ8" s="38"/>
      <c r="WYK8" s="38"/>
      <c r="WYL8" s="38"/>
      <c r="WYM8" s="38"/>
      <c r="WYN8" s="38"/>
      <c r="WYO8" s="38"/>
      <c r="WYP8" s="38"/>
      <c r="WYQ8" s="38"/>
      <c r="WYR8" s="38"/>
      <c r="WYS8" s="38"/>
      <c r="WYT8" s="38"/>
      <c r="WYU8" s="38"/>
      <c r="WYV8" s="38"/>
      <c r="WYW8" s="38"/>
      <c r="WYX8" s="38"/>
      <c r="WYY8" s="38"/>
      <c r="WYZ8" s="38"/>
      <c r="WZA8" s="38"/>
      <c r="WZB8" s="38"/>
      <c r="WZC8" s="38"/>
      <c r="WZD8" s="38"/>
      <c r="WZE8" s="38"/>
      <c r="WZF8" s="38"/>
      <c r="WZG8" s="38"/>
      <c r="WZH8" s="38"/>
      <c r="WZI8" s="38"/>
      <c r="WZJ8" s="38"/>
      <c r="WZK8" s="38"/>
      <c r="WZL8" s="38"/>
      <c r="WZM8" s="38"/>
      <c r="WZN8" s="38"/>
      <c r="WZO8" s="38"/>
      <c r="WZP8" s="38"/>
      <c r="WZQ8" s="38"/>
      <c r="WZR8" s="38"/>
      <c r="WZS8" s="38"/>
      <c r="WZT8" s="38"/>
      <c r="WZU8" s="38"/>
      <c r="WZV8" s="38"/>
      <c r="WZW8" s="38"/>
      <c r="WZX8" s="38"/>
      <c r="WZY8" s="38"/>
      <c r="WZZ8" s="38"/>
      <c r="XAA8" s="38"/>
      <c r="XAB8" s="38"/>
      <c r="XAC8" s="38"/>
      <c r="XAD8" s="38"/>
      <c r="XAE8" s="38"/>
      <c r="XAF8" s="38"/>
      <c r="XAG8" s="38"/>
      <c r="XAH8" s="38"/>
      <c r="XAI8" s="38"/>
      <c r="XAJ8" s="38"/>
      <c r="XAK8" s="38"/>
      <c r="XAL8" s="38"/>
      <c r="XAM8" s="38"/>
      <c r="XAN8" s="38"/>
      <c r="XAO8" s="38"/>
      <c r="XAP8" s="38"/>
      <c r="XAQ8" s="38"/>
      <c r="XAR8" s="38"/>
      <c r="XAS8" s="38"/>
      <c r="XAT8" s="38"/>
      <c r="XAU8" s="38"/>
      <c r="XAV8" s="38"/>
      <c r="XAW8" s="38"/>
      <c r="XAX8" s="38"/>
      <c r="XAY8" s="38"/>
      <c r="XAZ8" s="38"/>
      <c r="XBA8" s="38"/>
      <c r="XBB8" s="38"/>
      <c r="XBC8" s="38"/>
      <c r="XBD8" s="38"/>
      <c r="XBE8" s="38"/>
      <c r="XBF8" s="38"/>
      <c r="XBG8" s="38"/>
      <c r="XBH8" s="38"/>
      <c r="XBI8" s="38"/>
      <c r="XBJ8" s="38"/>
      <c r="XBK8" s="38"/>
      <c r="XBL8" s="38"/>
      <c r="XBM8" s="38"/>
      <c r="XBN8" s="38"/>
      <c r="XBO8" s="38"/>
      <c r="XBP8" s="38"/>
      <c r="XBQ8" s="38"/>
      <c r="XBR8" s="38"/>
      <c r="XBS8" s="38"/>
      <c r="XBT8" s="38"/>
      <c r="XBU8" s="38"/>
      <c r="XBV8" s="38"/>
      <c r="XBW8" s="38"/>
      <c r="XBX8" s="38"/>
      <c r="XBY8" s="38"/>
      <c r="XBZ8" s="38"/>
      <c r="XCA8" s="38"/>
      <c r="XCB8" s="38"/>
      <c r="XCC8" s="38"/>
      <c r="XCD8" s="38"/>
      <c r="XCE8" s="38"/>
      <c r="XCF8" s="38"/>
      <c r="XCG8" s="38"/>
      <c r="XCH8" s="38"/>
      <c r="XCI8" s="38"/>
      <c r="XCJ8" s="38"/>
      <c r="XCK8" s="38"/>
      <c r="XCL8" s="38"/>
      <c r="XCM8" s="38"/>
      <c r="XCN8" s="38"/>
      <c r="XCO8" s="38"/>
      <c r="XCP8" s="38"/>
      <c r="XCQ8" s="38"/>
      <c r="XCR8" s="38"/>
      <c r="XCS8" s="38"/>
      <c r="XCT8" s="38"/>
      <c r="XCU8" s="38"/>
      <c r="XCV8" s="38"/>
      <c r="XCW8" s="38"/>
      <c r="XCX8" s="38"/>
      <c r="XCY8" s="38"/>
      <c r="XCZ8" s="38"/>
      <c r="XDA8" s="38"/>
      <c r="XDB8" s="38"/>
      <c r="XDC8" s="38"/>
      <c r="XDD8" s="38"/>
      <c r="XDE8" s="38"/>
      <c r="XDF8" s="38"/>
      <c r="XDG8" s="38"/>
      <c r="XDH8" s="38"/>
      <c r="XDI8" s="38"/>
      <c r="XDJ8" s="38"/>
    </row>
    <row r="9" spans="1:780 1062:5519 16002:16338" s="3" customFormat="1" x14ac:dyDescent="0.2">
      <c r="A9" s="96">
        <v>2</v>
      </c>
      <c r="B9" s="124" t="s">
        <v>6</v>
      </c>
      <c r="C9" s="51">
        <f>HLOOKUP(B9,'Ressourcenausgleich Basis'!$C$8:$BZ$151,144,FALSE)</f>
        <v>5246200</v>
      </c>
      <c r="D9" s="189">
        <f>HLOOKUP(B9,'SL Weite Basis'!$C$8:$BZ$74,67,FALSE)</f>
        <v>0</v>
      </c>
      <c r="E9" s="110">
        <f>HLOOKUP(B9,'SL Schule Basis'!$C$8:$BZ$64,57,FALSE)</f>
        <v>50600</v>
      </c>
      <c r="F9" s="51">
        <f>HLOOKUP(B9,'SL Sozio Basis'!$C$8:$BZ$55,48,FALSE)</f>
        <v>368400</v>
      </c>
      <c r="G9" s="110">
        <v>0</v>
      </c>
      <c r="H9" s="129">
        <f t="shared" si="0"/>
        <v>5665200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  <c r="IW9" s="38"/>
      <c r="IX9" s="38"/>
      <c r="IY9" s="38"/>
      <c r="IZ9" s="38"/>
      <c r="JA9" s="38"/>
      <c r="JB9" s="38"/>
      <c r="JC9" s="38"/>
      <c r="JD9" s="38"/>
      <c r="JE9" s="38"/>
      <c r="JF9" s="38"/>
      <c r="JG9" s="38"/>
      <c r="JH9" s="38"/>
      <c r="JI9" s="38"/>
      <c r="JJ9" s="38"/>
      <c r="JK9" s="38"/>
      <c r="JL9" s="38"/>
      <c r="JM9" s="38"/>
      <c r="JN9" s="38"/>
      <c r="JO9" s="38"/>
      <c r="JP9" s="38"/>
      <c r="JQ9" s="38"/>
      <c r="JR9" s="38"/>
      <c r="JS9" s="38"/>
      <c r="JT9" s="38"/>
      <c r="JU9" s="38"/>
      <c r="JV9" s="38"/>
      <c r="JW9" s="38"/>
      <c r="JX9" s="38"/>
      <c r="JY9" s="38"/>
      <c r="JZ9" s="38"/>
      <c r="KA9" s="38"/>
      <c r="KB9" s="38"/>
      <c r="KC9" s="38"/>
      <c r="KD9" s="38"/>
      <c r="KE9" s="38"/>
      <c r="KF9" s="38"/>
      <c r="KG9" s="38"/>
      <c r="KH9" s="38"/>
      <c r="KI9" s="38"/>
      <c r="KJ9" s="38"/>
      <c r="KK9" s="38"/>
      <c r="KL9" s="38"/>
      <c r="KM9" s="38"/>
      <c r="KN9" s="38"/>
      <c r="KO9" s="38"/>
      <c r="KP9" s="38"/>
      <c r="KQ9" s="38"/>
      <c r="KR9" s="38"/>
      <c r="KS9" s="38"/>
      <c r="KT9" s="38"/>
      <c r="KU9" s="38"/>
      <c r="KV9" s="38"/>
      <c r="KW9" s="38"/>
      <c r="KX9" s="38"/>
      <c r="KY9" s="38"/>
      <c r="KZ9" s="38"/>
      <c r="LA9" s="38"/>
      <c r="LB9" s="38"/>
      <c r="LC9" s="38"/>
      <c r="LD9" s="38"/>
      <c r="LE9" s="38"/>
      <c r="LF9" s="38"/>
      <c r="LG9" s="38"/>
      <c r="LH9" s="38"/>
      <c r="LI9" s="38"/>
      <c r="LJ9" s="38"/>
      <c r="LK9" s="38"/>
      <c r="LL9" s="38"/>
      <c r="LM9" s="38"/>
      <c r="LN9" s="38"/>
      <c r="LO9" s="38"/>
      <c r="LP9" s="38"/>
      <c r="LQ9" s="38"/>
      <c r="LR9" s="38"/>
      <c r="LS9" s="38"/>
      <c r="LT9" s="38"/>
      <c r="LU9" s="38"/>
      <c r="LV9" s="38"/>
      <c r="LW9" s="38"/>
      <c r="LX9" s="38"/>
      <c r="LY9" s="38"/>
      <c r="LZ9" s="38"/>
      <c r="MA9" s="38"/>
      <c r="MB9" s="38"/>
      <c r="MC9" s="38"/>
      <c r="MD9" s="38"/>
      <c r="ME9" s="38"/>
      <c r="MF9" s="38"/>
      <c r="MG9" s="38"/>
      <c r="MH9" s="38"/>
      <c r="MI9" s="38"/>
      <c r="MJ9" s="38"/>
      <c r="MK9" s="38"/>
      <c r="ML9" s="38"/>
      <c r="MM9" s="38"/>
      <c r="MN9" s="38"/>
      <c r="MO9" s="38"/>
      <c r="MP9" s="38"/>
      <c r="MQ9" s="38"/>
      <c r="MR9" s="38"/>
      <c r="MS9" s="38"/>
      <c r="MT9" s="38"/>
      <c r="MU9" s="38"/>
      <c r="MV9" s="38"/>
      <c r="MW9" s="38"/>
      <c r="MX9" s="38"/>
      <c r="MY9" s="38"/>
      <c r="MZ9" s="38"/>
      <c r="NA9" s="38"/>
      <c r="NB9" s="38"/>
      <c r="NC9" s="38"/>
      <c r="ND9" s="38"/>
      <c r="NE9" s="38"/>
      <c r="NF9" s="38"/>
      <c r="NG9" s="38"/>
      <c r="NH9" s="38"/>
      <c r="NI9" s="38"/>
      <c r="NJ9" s="38"/>
      <c r="NK9" s="38"/>
      <c r="NL9" s="38"/>
      <c r="NM9" s="38"/>
      <c r="NN9" s="38"/>
      <c r="NO9" s="38"/>
      <c r="NP9" s="38"/>
      <c r="NQ9" s="38"/>
      <c r="NR9" s="38"/>
      <c r="NS9" s="38"/>
      <c r="NT9" s="38"/>
      <c r="NU9" s="38"/>
      <c r="NV9" s="38"/>
      <c r="NW9" s="38"/>
      <c r="NX9" s="38"/>
      <c r="NY9" s="38"/>
      <c r="NZ9" s="38"/>
      <c r="OA9" s="38"/>
      <c r="OB9" s="38"/>
      <c r="OC9" s="38"/>
      <c r="OD9" s="38"/>
      <c r="OE9" s="38"/>
      <c r="OF9" s="38"/>
      <c r="OG9" s="38"/>
      <c r="OH9" s="38"/>
      <c r="OI9" s="38"/>
      <c r="OJ9" s="38"/>
      <c r="OK9" s="38"/>
      <c r="OL9" s="38"/>
      <c r="OM9" s="38"/>
      <c r="ON9" s="38"/>
      <c r="OO9" s="38"/>
      <c r="OP9" s="38"/>
      <c r="OQ9" s="38"/>
      <c r="OR9" s="38"/>
      <c r="OS9" s="38"/>
      <c r="OT9" s="38"/>
      <c r="OU9" s="38"/>
      <c r="OV9" s="38"/>
      <c r="OW9" s="38"/>
      <c r="OX9" s="38"/>
      <c r="OY9" s="38"/>
      <c r="OZ9" s="38"/>
      <c r="PA9" s="38"/>
      <c r="PB9" s="38"/>
      <c r="PC9" s="38"/>
      <c r="PD9" s="38"/>
      <c r="PE9" s="38"/>
      <c r="PF9" s="38"/>
      <c r="PG9" s="38"/>
      <c r="PH9" s="38"/>
      <c r="PI9" s="38"/>
      <c r="PJ9" s="38"/>
      <c r="PK9" s="38"/>
      <c r="PL9" s="38"/>
      <c r="PM9" s="38"/>
      <c r="PN9" s="38"/>
      <c r="PO9" s="38"/>
      <c r="PP9" s="38"/>
      <c r="PQ9" s="38"/>
      <c r="PR9" s="38"/>
      <c r="PS9" s="38"/>
      <c r="PT9" s="38"/>
      <c r="PU9" s="38"/>
      <c r="PV9" s="38"/>
      <c r="PW9" s="38"/>
      <c r="PX9" s="38"/>
      <c r="PY9" s="38"/>
      <c r="PZ9" s="38"/>
      <c r="QA9" s="38"/>
      <c r="QB9" s="38"/>
      <c r="WQL9" s="38"/>
      <c r="WQM9" s="38"/>
      <c r="WQN9" s="38"/>
      <c r="WQO9" s="38"/>
      <c r="WQP9" s="38"/>
      <c r="WQQ9" s="38"/>
      <c r="WQR9" s="38"/>
      <c r="WQS9" s="38"/>
      <c r="WQT9" s="38"/>
      <c r="WQU9" s="38"/>
      <c r="WQV9" s="38"/>
      <c r="WQW9" s="38"/>
      <c r="WQX9" s="38"/>
      <c r="WQY9" s="38"/>
      <c r="WQZ9" s="38"/>
      <c r="WRA9" s="38"/>
      <c r="WRB9" s="38"/>
      <c r="WRC9" s="38"/>
      <c r="WRD9" s="38"/>
      <c r="WRE9" s="38"/>
      <c r="WRF9" s="38"/>
      <c r="WRG9" s="38"/>
      <c r="WRH9" s="38"/>
      <c r="WRI9" s="38"/>
      <c r="WRJ9" s="38"/>
      <c r="WRK9" s="38"/>
      <c r="WRL9" s="38"/>
      <c r="WRM9" s="38"/>
      <c r="WRN9" s="38"/>
      <c r="WRO9" s="38"/>
      <c r="WRP9" s="38"/>
      <c r="WRQ9" s="38"/>
      <c r="WRR9" s="38"/>
      <c r="WRS9" s="38"/>
      <c r="WRT9" s="38"/>
      <c r="WRU9" s="38"/>
      <c r="WRV9" s="38"/>
      <c r="WRW9" s="38"/>
      <c r="WRX9" s="38"/>
      <c r="WRY9" s="38"/>
      <c r="WRZ9" s="38"/>
      <c r="WSA9" s="38"/>
      <c r="WSB9" s="38"/>
      <c r="WSC9" s="38"/>
      <c r="WSD9" s="38"/>
      <c r="WSE9" s="38"/>
      <c r="WSF9" s="38"/>
      <c r="WSG9" s="38"/>
      <c r="WSH9" s="38"/>
      <c r="WSI9" s="38"/>
      <c r="WSJ9" s="38"/>
      <c r="WSK9" s="38"/>
      <c r="WSL9" s="38"/>
      <c r="WSM9" s="38"/>
      <c r="WSN9" s="38"/>
      <c r="WSO9" s="38"/>
      <c r="WSP9" s="38"/>
      <c r="WSQ9" s="38"/>
      <c r="WSR9" s="38"/>
      <c r="WSS9" s="38"/>
      <c r="WST9" s="38"/>
      <c r="WSU9" s="38"/>
      <c r="WSV9" s="38"/>
      <c r="WSW9" s="38"/>
      <c r="WSX9" s="38"/>
      <c r="WSY9" s="38"/>
      <c r="WSZ9" s="38"/>
      <c r="WTA9" s="38"/>
      <c r="WTB9" s="38"/>
      <c r="WTC9" s="38"/>
      <c r="WTD9" s="38"/>
      <c r="WTE9" s="38"/>
      <c r="WTF9" s="38"/>
      <c r="WTG9" s="38"/>
      <c r="WTH9" s="38"/>
      <c r="WTI9" s="38"/>
      <c r="WTJ9" s="38"/>
      <c r="WTK9" s="38"/>
      <c r="WTL9" s="38"/>
      <c r="WTM9" s="38"/>
      <c r="WTN9" s="38"/>
      <c r="WTO9" s="38"/>
      <c r="WTP9" s="38"/>
      <c r="WTQ9" s="38"/>
      <c r="WTR9" s="38"/>
      <c r="WTS9" s="38"/>
      <c r="WTT9" s="38"/>
      <c r="WTU9" s="38"/>
      <c r="WTV9" s="38"/>
      <c r="WTW9" s="38"/>
      <c r="WTX9" s="38"/>
      <c r="WTY9" s="38"/>
      <c r="WTZ9" s="38"/>
      <c r="WUA9" s="38"/>
      <c r="WUB9" s="38"/>
      <c r="WUC9" s="38"/>
      <c r="WUD9" s="38"/>
      <c r="WUE9" s="38"/>
      <c r="WUF9" s="38"/>
      <c r="WUG9" s="38"/>
      <c r="WUH9" s="38"/>
      <c r="WUI9" s="38"/>
      <c r="WUJ9" s="38"/>
      <c r="WUK9" s="38"/>
      <c r="WUL9" s="38"/>
      <c r="WUM9" s="38"/>
      <c r="WUN9" s="38"/>
      <c r="WUO9" s="38"/>
      <c r="WUP9" s="38"/>
      <c r="WUQ9" s="38"/>
      <c r="WUR9" s="38"/>
      <c r="WUS9" s="38"/>
      <c r="WUT9" s="38"/>
      <c r="WUU9" s="38"/>
      <c r="WUV9" s="38"/>
      <c r="WUW9" s="38"/>
      <c r="WUX9" s="38"/>
      <c r="WUY9" s="38"/>
      <c r="WUZ9" s="38"/>
      <c r="WVA9" s="38"/>
      <c r="WVB9" s="38"/>
      <c r="WVC9" s="38"/>
      <c r="WVD9" s="38"/>
      <c r="WVE9" s="38"/>
      <c r="WVF9" s="38"/>
      <c r="WVG9" s="38"/>
      <c r="WVH9" s="38"/>
      <c r="WVI9" s="38"/>
      <c r="WVJ9" s="38"/>
      <c r="WVK9" s="38"/>
      <c r="WVL9" s="38"/>
      <c r="WVM9" s="38"/>
      <c r="WVN9" s="38"/>
      <c r="WVO9" s="38"/>
      <c r="WVP9" s="38"/>
      <c r="WVQ9" s="38"/>
      <c r="WVR9" s="38"/>
      <c r="WVS9" s="38"/>
      <c r="WVT9" s="38"/>
      <c r="WVU9" s="38"/>
      <c r="WVV9" s="38"/>
      <c r="WVW9" s="38"/>
      <c r="WVX9" s="38"/>
      <c r="WVY9" s="38"/>
      <c r="WVZ9" s="38"/>
      <c r="WWA9" s="38"/>
      <c r="WWB9" s="38"/>
      <c r="WWC9" s="38"/>
      <c r="WWD9" s="38"/>
      <c r="WWE9" s="38"/>
      <c r="WWF9" s="38"/>
      <c r="WWG9" s="38"/>
      <c r="WWH9" s="38"/>
      <c r="WWI9" s="38"/>
      <c r="WWJ9" s="38"/>
      <c r="WWK9" s="38"/>
      <c r="WWL9" s="38"/>
      <c r="WWM9" s="38"/>
      <c r="WWN9" s="38"/>
      <c r="WWO9" s="38"/>
      <c r="WWP9" s="38"/>
      <c r="WWQ9" s="38"/>
      <c r="WWR9" s="38"/>
      <c r="WWS9" s="38"/>
      <c r="WWT9" s="38"/>
      <c r="WWU9" s="38"/>
      <c r="WWV9" s="38"/>
      <c r="WWW9" s="38"/>
      <c r="WWX9" s="38"/>
      <c r="WWY9" s="38"/>
      <c r="WWZ9" s="38"/>
      <c r="WXA9" s="38"/>
      <c r="WXB9" s="38"/>
      <c r="WXC9" s="38"/>
      <c r="WXD9" s="38"/>
      <c r="WXE9" s="38"/>
      <c r="WXF9" s="38"/>
      <c r="WXG9" s="38"/>
      <c r="WXH9" s="38"/>
      <c r="WXI9" s="38"/>
      <c r="WXJ9" s="38"/>
      <c r="WXK9" s="38"/>
      <c r="WXL9" s="38"/>
      <c r="WXM9" s="38"/>
      <c r="WXN9" s="38"/>
      <c r="WXO9" s="38"/>
      <c r="WXP9" s="38"/>
      <c r="WXQ9" s="38"/>
      <c r="WXR9" s="38"/>
      <c r="WXS9" s="38"/>
      <c r="WXT9" s="38"/>
      <c r="WXU9" s="38"/>
      <c r="WXV9" s="38"/>
      <c r="WXW9" s="38"/>
      <c r="WXX9" s="38"/>
      <c r="WXY9" s="38"/>
      <c r="WXZ9" s="38"/>
      <c r="WYA9" s="38"/>
      <c r="WYB9" s="38"/>
      <c r="WYC9" s="38"/>
      <c r="WYD9" s="38"/>
      <c r="WYE9" s="38"/>
      <c r="WYF9" s="38"/>
      <c r="WYG9" s="38"/>
      <c r="WYH9" s="38"/>
      <c r="WYI9" s="38"/>
      <c r="WYJ9" s="38"/>
      <c r="WYK9" s="38"/>
      <c r="WYL9" s="38"/>
      <c r="WYM9" s="38"/>
      <c r="WYN9" s="38"/>
      <c r="WYO9" s="38"/>
      <c r="WYP9" s="38"/>
      <c r="WYQ9" s="38"/>
      <c r="WYR9" s="38"/>
      <c r="WYS9" s="38"/>
      <c r="WYT9" s="38"/>
      <c r="WYU9" s="38"/>
      <c r="WYV9" s="38"/>
      <c r="WYW9" s="38"/>
      <c r="WYX9" s="38"/>
      <c r="WYY9" s="38"/>
      <c r="WYZ9" s="38"/>
      <c r="WZA9" s="38"/>
      <c r="WZB9" s="38"/>
      <c r="WZC9" s="38"/>
      <c r="WZD9" s="38"/>
      <c r="WZE9" s="38"/>
      <c r="WZF9" s="38"/>
      <c r="WZG9" s="38"/>
      <c r="WZH9" s="38"/>
      <c r="WZI9" s="38"/>
      <c r="WZJ9" s="38"/>
      <c r="WZK9" s="38"/>
      <c r="WZL9" s="38"/>
      <c r="WZM9" s="38"/>
      <c r="WZN9" s="38"/>
      <c r="WZO9" s="38"/>
      <c r="WZP9" s="38"/>
      <c r="WZQ9" s="38"/>
      <c r="WZR9" s="38"/>
      <c r="WZS9" s="38"/>
      <c r="WZT9" s="38"/>
      <c r="WZU9" s="38"/>
      <c r="WZV9" s="38"/>
      <c r="WZW9" s="38"/>
      <c r="WZX9" s="38"/>
      <c r="WZY9" s="38"/>
      <c r="WZZ9" s="38"/>
      <c r="XAA9" s="38"/>
      <c r="XAB9" s="38"/>
      <c r="XAC9" s="38"/>
      <c r="XAD9" s="38"/>
      <c r="XAE9" s="38"/>
      <c r="XAF9" s="38"/>
      <c r="XAG9" s="38"/>
      <c r="XAH9" s="38"/>
      <c r="XAI9" s="38"/>
      <c r="XAJ9" s="38"/>
      <c r="XAK9" s="38"/>
      <c r="XAL9" s="38"/>
      <c r="XAM9" s="38"/>
      <c r="XAN9" s="38"/>
      <c r="XAO9" s="38"/>
      <c r="XAP9" s="38"/>
      <c r="XAQ9" s="38"/>
      <c r="XAR9" s="38"/>
      <c r="XAS9" s="38"/>
      <c r="XAT9" s="38"/>
      <c r="XAU9" s="38"/>
      <c r="XAV9" s="38"/>
      <c r="XAW9" s="38"/>
      <c r="XAX9" s="38"/>
      <c r="XAY9" s="38"/>
      <c r="XAZ9" s="38"/>
      <c r="XBA9" s="38"/>
      <c r="XBB9" s="38"/>
      <c r="XBC9" s="38"/>
      <c r="XBD9" s="38"/>
      <c r="XBE9" s="38"/>
      <c r="XBF9" s="38"/>
      <c r="XBG9" s="38"/>
      <c r="XBH9" s="38"/>
      <c r="XBI9" s="38"/>
      <c r="XBJ9" s="38"/>
      <c r="XBK9" s="38"/>
      <c r="XBL9" s="38"/>
      <c r="XBM9" s="38"/>
      <c r="XBN9" s="38"/>
      <c r="XBO9" s="38"/>
      <c r="XBP9" s="38"/>
      <c r="XBQ9" s="38"/>
      <c r="XBR9" s="38"/>
      <c r="XBS9" s="38"/>
      <c r="XBT9" s="38"/>
      <c r="XBU9" s="38"/>
      <c r="XBV9" s="38"/>
      <c r="XBW9" s="38"/>
      <c r="XBX9" s="38"/>
      <c r="XBY9" s="38"/>
      <c r="XBZ9" s="38"/>
      <c r="XCA9" s="38"/>
      <c r="XCB9" s="38"/>
      <c r="XCC9" s="38"/>
      <c r="XCD9" s="38"/>
      <c r="XCE9" s="38"/>
      <c r="XCF9" s="38"/>
      <c r="XCG9" s="38"/>
      <c r="XCH9" s="38"/>
      <c r="XCI9" s="38"/>
      <c r="XCJ9" s="38"/>
      <c r="XCK9" s="38"/>
      <c r="XCL9" s="38"/>
      <c r="XCM9" s="38"/>
      <c r="XCN9" s="38"/>
      <c r="XCO9" s="38"/>
      <c r="XCP9" s="38"/>
      <c r="XCQ9" s="38"/>
      <c r="XCR9" s="38"/>
      <c r="XCS9" s="38"/>
      <c r="XCT9" s="38"/>
      <c r="XCU9" s="38"/>
      <c r="XCV9" s="38"/>
      <c r="XCW9" s="38"/>
      <c r="XCX9" s="38"/>
      <c r="XCY9" s="38"/>
      <c r="XCZ9" s="38"/>
      <c r="XDA9" s="38"/>
      <c r="XDB9" s="38"/>
      <c r="XDC9" s="38"/>
      <c r="XDD9" s="38"/>
      <c r="XDE9" s="38"/>
      <c r="XDF9" s="38"/>
      <c r="XDG9" s="38"/>
      <c r="XDH9" s="38"/>
      <c r="XDI9" s="38"/>
      <c r="XDJ9" s="38"/>
    </row>
    <row r="10" spans="1:780 1062:5519 16002:16338" x14ac:dyDescent="0.2">
      <c r="A10" s="96">
        <v>3</v>
      </c>
      <c r="B10" s="124" t="s">
        <v>7</v>
      </c>
      <c r="C10" s="51">
        <f>HLOOKUP(B10,'Ressourcenausgleich Basis'!$C$8:$BZ$151,144,FALSE)</f>
        <v>647000</v>
      </c>
      <c r="D10" s="189">
        <f>HLOOKUP(B10,'SL Weite Basis'!$C$8:$BZ$74,67,FALSE)</f>
        <v>407400</v>
      </c>
      <c r="E10" s="110">
        <f>HLOOKUP(B10,'SL Schule Basis'!$C$8:$BZ$64,57,FALSE)</f>
        <v>540000</v>
      </c>
      <c r="F10" s="51">
        <f>HLOOKUP(B10,'SL Sozio Basis'!$C$8:$BZ$55,48,FALSE)</f>
        <v>0</v>
      </c>
      <c r="G10" s="110">
        <v>0</v>
      </c>
      <c r="H10" s="129">
        <f t="shared" si="0"/>
        <v>1594400</v>
      </c>
      <c r="J10" s="5"/>
    </row>
    <row r="11" spans="1:780 1062:5519 16002:16338" x14ac:dyDescent="0.2">
      <c r="A11" s="96">
        <v>4</v>
      </c>
      <c r="B11" s="124" t="s">
        <v>8</v>
      </c>
      <c r="C11" s="51">
        <f>HLOOKUP(B11,'Ressourcenausgleich Basis'!$C$8:$BZ$151,144,FALSE)</f>
        <v>928400</v>
      </c>
      <c r="D11" s="189">
        <f>HLOOKUP(B11,'SL Weite Basis'!$C$8:$BZ$74,67,FALSE)</f>
        <v>629900</v>
      </c>
      <c r="E11" s="110">
        <f>HLOOKUP(B11,'SL Schule Basis'!$C$8:$BZ$64,57,FALSE)</f>
        <v>113300</v>
      </c>
      <c r="F11" s="51">
        <f>HLOOKUP(B11,'SL Sozio Basis'!$C$8:$BZ$55,48,FALSE)</f>
        <v>0</v>
      </c>
      <c r="G11" s="110">
        <v>0</v>
      </c>
      <c r="H11" s="129">
        <f t="shared" si="0"/>
        <v>1671600</v>
      </c>
      <c r="J11" s="5"/>
    </row>
    <row r="12" spans="1:780 1062:5519 16002:16338" x14ac:dyDescent="0.2">
      <c r="A12" s="96">
        <v>5</v>
      </c>
      <c r="B12" s="124" t="s">
        <v>9</v>
      </c>
      <c r="C12" s="51">
        <f>HLOOKUP(B12,'Ressourcenausgleich Basis'!$C$8:$BZ$151,144,FALSE)</f>
        <v>0</v>
      </c>
      <c r="D12" s="189">
        <f>HLOOKUP(B12,'SL Weite Basis'!$C$8:$BZ$74,67,FALSE)</f>
        <v>0</v>
      </c>
      <c r="E12" s="110">
        <f>HLOOKUP(B12,'SL Schule Basis'!$C$8:$BZ$64,57,FALSE)</f>
        <v>0</v>
      </c>
      <c r="F12" s="51">
        <f>HLOOKUP(B12,'SL Sozio Basis'!$C$8:$BZ$55,48,FALSE)</f>
        <v>0</v>
      </c>
      <c r="G12" s="110">
        <v>0</v>
      </c>
      <c r="H12" s="129">
        <f t="shared" si="0"/>
        <v>0</v>
      </c>
      <c r="J12" s="5"/>
    </row>
    <row r="13" spans="1:780 1062:5519 16002:16338" x14ac:dyDescent="0.2">
      <c r="A13" s="96">
        <v>6</v>
      </c>
      <c r="B13" s="124" t="s">
        <v>10</v>
      </c>
      <c r="C13" s="51">
        <f>HLOOKUP(B13,'Ressourcenausgleich Basis'!$C$8:$BZ$151,144,FALSE)</f>
        <v>0</v>
      </c>
      <c r="D13" s="189">
        <f>HLOOKUP(B13,'SL Weite Basis'!$C$8:$BZ$74,67,FALSE)</f>
        <v>0</v>
      </c>
      <c r="E13" s="110">
        <f>HLOOKUP(B13,'SL Schule Basis'!$C$8:$BZ$64,57,FALSE)</f>
        <v>0</v>
      </c>
      <c r="F13" s="51">
        <f>HLOOKUP(B13,'SL Sozio Basis'!$C$8:$BZ$55,48,FALSE)</f>
        <v>218600</v>
      </c>
      <c r="G13" s="110">
        <v>0</v>
      </c>
      <c r="H13" s="129">
        <f t="shared" si="0"/>
        <v>218600</v>
      </c>
      <c r="J13" s="5"/>
    </row>
    <row r="14" spans="1:780 1062:5519 16002:16338" x14ac:dyDescent="0.2">
      <c r="A14" s="96">
        <v>7</v>
      </c>
      <c r="B14" s="124" t="s">
        <v>11</v>
      </c>
      <c r="C14" s="51">
        <f>HLOOKUP(B14,'Ressourcenausgleich Basis'!$C$8:$BZ$151,144,FALSE)</f>
        <v>0</v>
      </c>
      <c r="D14" s="189">
        <f>HLOOKUP(B14,'SL Weite Basis'!$C$8:$BZ$74,67,FALSE)</f>
        <v>0</v>
      </c>
      <c r="E14" s="110">
        <f>HLOOKUP(B14,'SL Schule Basis'!$C$8:$BZ$64,57,FALSE)</f>
        <v>0</v>
      </c>
      <c r="F14" s="51">
        <f>HLOOKUP(B14,'SL Sozio Basis'!$C$8:$BZ$55,48,FALSE)</f>
        <v>0</v>
      </c>
      <c r="G14" s="110">
        <v>0</v>
      </c>
      <c r="H14" s="129">
        <f t="shared" si="0"/>
        <v>0</v>
      </c>
      <c r="J14" s="5"/>
    </row>
    <row r="15" spans="1:780 1062:5519 16002:16338" x14ac:dyDescent="0.2">
      <c r="A15" s="96">
        <v>8</v>
      </c>
      <c r="B15" s="124" t="s">
        <v>12</v>
      </c>
      <c r="C15" s="51">
        <f>HLOOKUP(B15,'Ressourcenausgleich Basis'!$C$8:$BZ$151,144,FALSE)</f>
        <v>0</v>
      </c>
      <c r="D15" s="189">
        <f>HLOOKUP(B15,'SL Weite Basis'!$C$8:$BZ$74,67,FALSE)</f>
        <v>25000</v>
      </c>
      <c r="E15" s="110">
        <f>HLOOKUP(B15,'SL Schule Basis'!$C$8:$BZ$64,57,FALSE)</f>
        <v>18800</v>
      </c>
      <c r="F15" s="51">
        <f>HLOOKUP(B15,'SL Sozio Basis'!$C$8:$BZ$55,48,FALSE)</f>
        <v>600</v>
      </c>
      <c r="G15" s="110">
        <v>0</v>
      </c>
      <c r="H15" s="129">
        <f t="shared" si="0"/>
        <v>44400</v>
      </c>
      <c r="J15" s="5"/>
    </row>
    <row r="16" spans="1:780 1062:5519 16002:16338" x14ac:dyDescent="0.2">
      <c r="A16" s="96">
        <v>9</v>
      </c>
      <c r="B16" s="124" t="s">
        <v>13</v>
      </c>
      <c r="C16" s="51">
        <f>HLOOKUP(B16,'Ressourcenausgleich Basis'!$C$8:$BZ$151,144,FALSE)</f>
        <v>0</v>
      </c>
      <c r="D16" s="189">
        <f>HLOOKUP(B16,'SL Weite Basis'!$C$8:$BZ$74,67,FALSE)</f>
        <v>0</v>
      </c>
      <c r="E16" s="110">
        <f>HLOOKUP(B16,'SL Schule Basis'!$C$8:$BZ$64,57,FALSE)</f>
        <v>0</v>
      </c>
      <c r="F16" s="51">
        <f>HLOOKUP(B16,'SL Sozio Basis'!$C$8:$BZ$55,48,FALSE)</f>
        <v>0</v>
      </c>
      <c r="G16" s="110">
        <v>0</v>
      </c>
      <c r="H16" s="129">
        <f t="shared" si="0"/>
        <v>0</v>
      </c>
      <c r="J16" s="5"/>
    </row>
    <row r="17" spans="1:10" x14ac:dyDescent="0.2">
      <c r="A17" s="96">
        <v>10</v>
      </c>
      <c r="B17" s="124" t="s">
        <v>14</v>
      </c>
      <c r="C17" s="51">
        <f>HLOOKUP(B17,'Ressourcenausgleich Basis'!$C$8:$BZ$151,144,FALSE)</f>
        <v>155200</v>
      </c>
      <c r="D17" s="189">
        <f>HLOOKUP(B17,'SL Weite Basis'!$C$8:$BZ$74,67,FALSE)</f>
        <v>296800</v>
      </c>
      <c r="E17" s="110">
        <f>HLOOKUP(B17,'SL Schule Basis'!$C$8:$BZ$64,57,FALSE)</f>
        <v>283200</v>
      </c>
      <c r="F17" s="51">
        <f>HLOOKUP(B17,'SL Sozio Basis'!$C$8:$BZ$55,48,FALSE)</f>
        <v>0</v>
      </c>
      <c r="G17" s="110">
        <v>0</v>
      </c>
      <c r="H17" s="129">
        <f t="shared" si="0"/>
        <v>735200</v>
      </c>
      <c r="J17" s="5"/>
    </row>
    <row r="18" spans="1:10" x14ac:dyDescent="0.2">
      <c r="A18" s="96">
        <v>11</v>
      </c>
      <c r="B18" s="124" t="s">
        <v>15</v>
      </c>
      <c r="C18" s="51">
        <f>HLOOKUP(B18,'Ressourcenausgleich Basis'!$C$8:$BZ$151,144,FALSE)</f>
        <v>894600</v>
      </c>
      <c r="D18" s="189">
        <f>HLOOKUP(B18,'SL Weite Basis'!$C$8:$BZ$74,67,FALSE)</f>
        <v>640400</v>
      </c>
      <c r="E18" s="110">
        <f>HLOOKUP(B18,'SL Schule Basis'!$C$8:$BZ$64,57,FALSE)</f>
        <v>599800</v>
      </c>
      <c r="F18" s="51">
        <f>HLOOKUP(B18,'SL Sozio Basis'!$C$8:$BZ$55,48,FALSE)</f>
        <v>0</v>
      </c>
      <c r="G18" s="110">
        <v>0</v>
      </c>
      <c r="H18" s="129">
        <f t="shared" si="0"/>
        <v>2134800</v>
      </c>
      <c r="J18" s="5"/>
    </row>
    <row r="19" spans="1:10" x14ac:dyDescent="0.2">
      <c r="A19" s="96">
        <v>12</v>
      </c>
      <c r="B19" s="124" t="s">
        <v>16</v>
      </c>
      <c r="C19" s="51">
        <f>HLOOKUP(B19,'Ressourcenausgleich Basis'!$C$8:$BZ$151,144,FALSE)</f>
        <v>0</v>
      </c>
      <c r="D19" s="189">
        <f>HLOOKUP(B19,'SL Weite Basis'!$C$8:$BZ$74,67,FALSE)</f>
        <v>0</v>
      </c>
      <c r="E19" s="110">
        <f>HLOOKUP(B19,'SL Schule Basis'!$C$8:$BZ$64,57,FALSE)</f>
        <v>0</v>
      </c>
      <c r="F19" s="51">
        <f>HLOOKUP(B19,'SL Sozio Basis'!$C$8:$BZ$55,48,FALSE)</f>
        <v>119300</v>
      </c>
      <c r="G19" s="110">
        <v>0</v>
      </c>
      <c r="H19" s="129">
        <f t="shared" si="0"/>
        <v>119300</v>
      </c>
      <c r="J19" s="5"/>
    </row>
    <row r="20" spans="1:10" x14ac:dyDescent="0.2">
      <c r="A20" s="96">
        <v>13</v>
      </c>
      <c r="B20" s="124" t="s">
        <v>17</v>
      </c>
      <c r="C20" s="51">
        <f>HLOOKUP(B20,'Ressourcenausgleich Basis'!$C$8:$BZ$151,144,FALSE)</f>
        <v>4472700</v>
      </c>
      <c r="D20" s="189">
        <f>HLOOKUP(B20,'SL Weite Basis'!$C$8:$BZ$74,67,FALSE)</f>
        <v>0</v>
      </c>
      <c r="E20" s="110">
        <f>HLOOKUP(B20,'SL Schule Basis'!$C$8:$BZ$64,57,FALSE)</f>
        <v>0</v>
      </c>
      <c r="F20" s="51">
        <f>HLOOKUP(B20,'SL Sozio Basis'!$C$8:$BZ$55,48,FALSE)</f>
        <v>1263800</v>
      </c>
      <c r="G20" s="110">
        <v>0</v>
      </c>
      <c r="H20" s="129">
        <f t="shared" si="0"/>
        <v>5736500</v>
      </c>
      <c r="J20" s="5"/>
    </row>
    <row r="21" spans="1:10" x14ac:dyDescent="0.2">
      <c r="A21" s="96">
        <v>14</v>
      </c>
      <c r="B21" s="124" t="s">
        <v>18</v>
      </c>
      <c r="C21" s="51">
        <f>HLOOKUP(B21,'Ressourcenausgleich Basis'!$C$8:$BZ$151,144,FALSE)</f>
        <v>0</v>
      </c>
      <c r="D21" s="189">
        <f>HLOOKUP(B21,'SL Weite Basis'!$C$8:$BZ$74,67,FALSE)</f>
        <v>0</v>
      </c>
      <c r="E21" s="110">
        <f>HLOOKUP(B21,'SL Schule Basis'!$C$8:$BZ$64,57,FALSE)</f>
        <v>0</v>
      </c>
      <c r="F21" s="51">
        <f>HLOOKUP(B21,'SL Sozio Basis'!$C$8:$BZ$55,48,FALSE)</f>
        <v>0</v>
      </c>
      <c r="G21" s="110">
        <v>0</v>
      </c>
      <c r="H21" s="129">
        <f t="shared" si="0"/>
        <v>0</v>
      </c>
      <c r="J21" s="5"/>
    </row>
    <row r="22" spans="1:10" x14ac:dyDescent="0.2">
      <c r="A22" s="96">
        <v>15</v>
      </c>
      <c r="B22" s="124" t="s">
        <v>19</v>
      </c>
      <c r="C22" s="51">
        <f>HLOOKUP(B22,'Ressourcenausgleich Basis'!$C$8:$BZ$151,144,FALSE)</f>
        <v>815400</v>
      </c>
      <c r="D22" s="189">
        <f>HLOOKUP(B22,'SL Weite Basis'!$C$8:$BZ$74,67,FALSE)</f>
        <v>0</v>
      </c>
      <c r="E22" s="110">
        <f>HLOOKUP(B22,'SL Schule Basis'!$C$8:$BZ$64,57,FALSE)</f>
        <v>0</v>
      </c>
      <c r="F22" s="51">
        <f>HLOOKUP(B22,'SL Sozio Basis'!$C$8:$BZ$55,48,FALSE)</f>
        <v>234300</v>
      </c>
      <c r="G22" s="110">
        <v>0</v>
      </c>
      <c r="H22" s="129">
        <f t="shared" si="0"/>
        <v>1049700</v>
      </c>
      <c r="J22" s="5"/>
    </row>
    <row r="23" spans="1:10" x14ac:dyDescent="0.2">
      <c r="A23" s="96">
        <v>16</v>
      </c>
      <c r="B23" s="124" t="s">
        <v>20</v>
      </c>
      <c r="C23" s="51">
        <f>HLOOKUP(B23,'Ressourcenausgleich Basis'!$C$8:$BZ$151,144,FALSE)</f>
        <v>1807400</v>
      </c>
      <c r="D23" s="189">
        <f>HLOOKUP(B23,'SL Weite Basis'!$C$8:$BZ$74,67,FALSE)</f>
        <v>0</v>
      </c>
      <c r="E23" s="110">
        <f>HLOOKUP(B23,'SL Schule Basis'!$C$8:$BZ$64,57,FALSE)</f>
        <v>7500</v>
      </c>
      <c r="F23" s="51">
        <f>HLOOKUP(B23,'SL Sozio Basis'!$C$8:$BZ$55,48,FALSE)</f>
        <v>247900</v>
      </c>
      <c r="G23" s="110">
        <v>0</v>
      </c>
      <c r="H23" s="129">
        <f t="shared" si="0"/>
        <v>2062800</v>
      </c>
      <c r="J23" s="5"/>
    </row>
    <row r="24" spans="1:10" x14ac:dyDescent="0.2">
      <c r="A24" s="96">
        <v>17</v>
      </c>
      <c r="B24" s="124" t="s">
        <v>21</v>
      </c>
      <c r="C24" s="51">
        <f>HLOOKUP(B24,'Ressourcenausgleich Basis'!$C$8:$BZ$151,144,FALSE)</f>
        <v>0</v>
      </c>
      <c r="D24" s="189">
        <f>HLOOKUP(B24,'SL Weite Basis'!$C$8:$BZ$74,67,FALSE)</f>
        <v>0</v>
      </c>
      <c r="E24" s="110">
        <f>HLOOKUP(B24,'SL Schule Basis'!$C$8:$BZ$64,57,FALSE)</f>
        <v>0</v>
      </c>
      <c r="F24" s="51">
        <f>HLOOKUP(B24,'SL Sozio Basis'!$C$8:$BZ$55,48,FALSE)</f>
        <v>310200</v>
      </c>
      <c r="G24" s="110">
        <v>0</v>
      </c>
      <c r="H24" s="129">
        <f t="shared" si="0"/>
        <v>310200</v>
      </c>
      <c r="J24" s="5"/>
    </row>
    <row r="25" spans="1:10" x14ac:dyDescent="0.2">
      <c r="A25" s="96">
        <v>18</v>
      </c>
      <c r="B25" s="124" t="s">
        <v>22</v>
      </c>
      <c r="C25" s="51">
        <f>HLOOKUP(B25,'Ressourcenausgleich Basis'!$C$8:$BZ$151,144,FALSE)</f>
        <v>0</v>
      </c>
      <c r="D25" s="189">
        <f>HLOOKUP(B25,'SL Weite Basis'!$C$8:$BZ$74,67,FALSE)</f>
        <v>0</v>
      </c>
      <c r="E25" s="110">
        <f>HLOOKUP(B25,'SL Schule Basis'!$C$8:$BZ$64,57,FALSE)</f>
        <v>900</v>
      </c>
      <c r="F25" s="51">
        <f>HLOOKUP(B25,'SL Sozio Basis'!$C$8:$BZ$55,48,FALSE)</f>
        <v>117800</v>
      </c>
      <c r="G25" s="110">
        <v>0</v>
      </c>
      <c r="H25" s="129">
        <f t="shared" si="0"/>
        <v>118700</v>
      </c>
      <c r="J25" s="5"/>
    </row>
    <row r="26" spans="1:10" x14ac:dyDescent="0.2">
      <c r="A26" s="96">
        <v>19</v>
      </c>
      <c r="B26" s="124" t="s">
        <v>23</v>
      </c>
      <c r="C26" s="51">
        <f>HLOOKUP(B26,'Ressourcenausgleich Basis'!$C$8:$BZ$151,144,FALSE)</f>
        <v>0</v>
      </c>
      <c r="D26" s="189">
        <f>HLOOKUP(B26,'SL Weite Basis'!$C$8:$BZ$74,67,FALSE)</f>
        <v>0</v>
      </c>
      <c r="E26" s="110">
        <f>HLOOKUP(B26,'SL Schule Basis'!$C$8:$BZ$64,57,FALSE)</f>
        <v>0</v>
      </c>
      <c r="F26" s="51">
        <f>HLOOKUP(B26,'SL Sozio Basis'!$C$8:$BZ$55,48,FALSE)</f>
        <v>0</v>
      </c>
      <c r="G26" s="110">
        <v>0</v>
      </c>
      <c r="H26" s="129">
        <f t="shared" si="0"/>
        <v>0</v>
      </c>
      <c r="J26" s="5"/>
    </row>
    <row r="27" spans="1:10" x14ac:dyDescent="0.2">
      <c r="A27" s="96">
        <v>20</v>
      </c>
      <c r="B27" s="124" t="s">
        <v>24</v>
      </c>
      <c r="C27" s="51">
        <f>HLOOKUP(B27,'Ressourcenausgleich Basis'!$C$8:$BZ$151,144,FALSE)</f>
        <v>0</v>
      </c>
      <c r="D27" s="189">
        <f>HLOOKUP(B27,'SL Weite Basis'!$C$8:$BZ$74,67,FALSE)</f>
        <v>0</v>
      </c>
      <c r="E27" s="110">
        <f>HLOOKUP(B27,'SL Schule Basis'!$C$8:$BZ$64,57,FALSE)</f>
        <v>55100</v>
      </c>
      <c r="F27" s="51">
        <f>HLOOKUP(B27,'SL Sozio Basis'!$C$8:$BZ$55,48,FALSE)</f>
        <v>0</v>
      </c>
      <c r="G27" s="110">
        <v>0</v>
      </c>
      <c r="H27" s="129">
        <f t="shared" si="0"/>
        <v>55100</v>
      </c>
      <c r="J27" s="5"/>
    </row>
    <row r="28" spans="1:10" x14ac:dyDescent="0.2">
      <c r="A28" s="96">
        <v>21</v>
      </c>
      <c r="B28" s="124" t="s">
        <v>25</v>
      </c>
      <c r="C28" s="51">
        <f>HLOOKUP(B28,'Ressourcenausgleich Basis'!$C$8:$BZ$151,144,FALSE)</f>
        <v>0</v>
      </c>
      <c r="D28" s="189">
        <f>HLOOKUP(B28,'SL Weite Basis'!$C$8:$BZ$74,67,FALSE)</f>
        <v>0</v>
      </c>
      <c r="E28" s="110">
        <f>HLOOKUP(B28,'SL Schule Basis'!$C$8:$BZ$64,57,FALSE)</f>
        <v>142300</v>
      </c>
      <c r="F28" s="51">
        <f>HLOOKUP(B28,'SL Sozio Basis'!$C$8:$BZ$55,48,FALSE)</f>
        <v>0</v>
      </c>
      <c r="G28" s="110">
        <v>0</v>
      </c>
      <c r="H28" s="129">
        <f t="shared" si="0"/>
        <v>142300</v>
      </c>
      <c r="J28" s="5"/>
    </row>
    <row r="29" spans="1:10" x14ac:dyDescent="0.2">
      <c r="A29" s="96">
        <v>22</v>
      </c>
      <c r="B29" s="124" t="s">
        <v>26</v>
      </c>
      <c r="C29" s="51">
        <f>HLOOKUP(B29,'Ressourcenausgleich Basis'!$C$8:$BZ$151,144,FALSE)</f>
        <v>0</v>
      </c>
      <c r="D29" s="189">
        <f>HLOOKUP(B29,'SL Weite Basis'!$C$8:$BZ$74,67,FALSE)</f>
        <v>0</v>
      </c>
      <c r="E29" s="110">
        <f>HLOOKUP(B29,'SL Schule Basis'!$C$8:$BZ$64,57,FALSE)</f>
        <v>0</v>
      </c>
      <c r="F29" s="51">
        <f>HLOOKUP(B29,'SL Sozio Basis'!$C$8:$BZ$55,48,FALSE)</f>
        <v>55000</v>
      </c>
      <c r="G29" s="110">
        <v>0</v>
      </c>
      <c r="H29" s="129">
        <f t="shared" si="0"/>
        <v>55000</v>
      </c>
      <c r="J29" s="5"/>
    </row>
    <row r="30" spans="1:10" x14ac:dyDescent="0.2">
      <c r="A30" s="96">
        <v>23</v>
      </c>
      <c r="B30" s="124" t="s">
        <v>27</v>
      </c>
      <c r="C30" s="51">
        <f>HLOOKUP(B30,'Ressourcenausgleich Basis'!$C$8:$BZ$151,144,FALSE)</f>
        <v>713700</v>
      </c>
      <c r="D30" s="189">
        <f>HLOOKUP(B30,'SL Weite Basis'!$C$8:$BZ$74,67,FALSE)</f>
        <v>140200</v>
      </c>
      <c r="E30" s="110">
        <f>HLOOKUP(B30,'SL Schule Basis'!$C$8:$BZ$64,57,FALSE)</f>
        <v>0</v>
      </c>
      <c r="F30" s="51">
        <f>HLOOKUP(B30,'SL Sozio Basis'!$C$8:$BZ$55,48,FALSE)</f>
        <v>0</v>
      </c>
      <c r="G30" s="110">
        <v>0</v>
      </c>
      <c r="H30" s="129">
        <f t="shared" si="0"/>
        <v>853900</v>
      </c>
      <c r="J30" s="5"/>
    </row>
    <row r="31" spans="1:10" x14ac:dyDescent="0.2">
      <c r="A31" s="96">
        <v>24</v>
      </c>
      <c r="B31" s="124" t="s">
        <v>28</v>
      </c>
      <c r="C31" s="51">
        <f>HLOOKUP(B31,'Ressourcenausgleich Basis'!$C$8:$BZ$151,144,FALSE)</f>
        <v>0</v>
      </c>
      <c r="D31" s="189">
        <f>HLOOKUP(B31,'SL Weite Basis'!$C$8:$BZ$74,67,FALSE)</f>
        <v>1069900</v>
      </c>
      <c r="E31" s="110">
        <f>HLOOKUP(B31,'SL Schule Basis'!$C$8:$BZ$64,57,FALSE)</f>
        <v>0</v>
      </c>
      <c r="F31" s="51">
        <f>HLOOKUP(B31,'SL Sozio Basis'!$C$8:$BZ$55,48,FALSE)</f>
        <v>98600</v>
      </c>
      <c r="G31" s="110">
        <v>0</v>
      </c>
      <c r="H31" s="129">
        <f t="shared" si="0"/>
        <v>1168500</v>
      </c>
      <c r="J31" s="5"/>
    </row>
    <row r="32" spans="1:10" x14ac:dyDescent="0.2">
      <c r="A32" s="96">
        <v>25</v>
      </c>
      <c r="B32" s="124" t="s">
        <v>29</v>
      </c>
      <c r="C32" s="51">
        <f>HLOOKUP(B32,'Ressourcenausgleich Basis'!$C$8:$BZ$151,144,FALSE)</f>
        <v>809800</v>
      </c>
      <c r="D32" s="189">
        <f>HLOOKUP(B32,'SL Weite Basis'!$C$8:$BZ$74,67,FALSE)</f>
        <v>240700</v>
      </c>
      <c r="E32" s="110">
        <f>HLOOKUP(B32,'SL Schule Basis'!$C$8:$BZ$64,57,FALSE)</f>
        <v>240700</v>
      </c>
      <c r="F32" s="51">
        <f>HLOOKUP(B32,'SL Sozio Basis'!$C$8:$BZ$55,48,FALSE)</f>
        <v>0</v>
      </c>
      <c r="G32" s="110">
        <v>0</v>
      </c>
      <c r="H32" s="129">
        <f t="shared" si="0"/>
        <v>1291200</v>
      </c>
      <c r="J32" s="5"/>
    </row>
    <row r="33" spans="1:10" x14ac:dyDescent="0.2">
      <c r="A33" s="96">
        <v>26</v>
      </c>
      <c r="B33" s="124" t="s">
        <v>30</v>
      </c>
      <c r="C33" s="51">
        <f>HLOOKUP(B33,'Ressourcenausgleich Basis'!$C$8:$BZ$151,144,FALSE)</f>
        <v>2064700</v>
      </c>
      <c r="D33" s="189">
        <f>HLOOKUP(B33,'SL Weite Basis'!$C$8:$BZ$74,67,FALSE)</f>
        <v>1487000</v>
      </c>
      <c r="E33" s="110">
        <f>HLOOKUP(B33,'SL Schule Basis'!$C$8:$BZ$64,57,FALSE)</f>
        <v>1000100</v>
      </c>
      <c r="F33" s="51">
        <f>HLOOKUP(B33,'SL Sozio Basis'!$C$8:$BZ$55,48,FALSE)</f>
        <v>0</v>
      </c>
      <c r="G33" s="110">
        <v>0</v>
      </c>
      <c r="H33" s="129">
        <f t="shared" si="0"/>
        <v>4551800</v>
      </c>
      <c r="J33" s="5"/>
    </row>
    <row r="34" spans="1:10" x14ac:dyDescent="0.2">
      <c r="A34" s="96">
        <v>27</v>
      </c>
      <c r="B34" s="124" t="s">
        <v>31</v>
      </c>
      <c r="C34" s="51">
        <f>HLOOKUP(B34,'Ressourcenausgleich Basis'!$C$8:$BZ$151,144,FALSE)</f>
        <v>1211200</v>
      </c>
      <c r="D34" s="189">
        <f>HLOOKUP(B34,'SL Weite Basis'!$C$8:$BZ$74,67,FALSE)</f>
        <v>267300</v>
      </c>
      <c r="E34" s="110">
        <f>HLOOKUP(B34,'SL Schule Basis'!$C$8:$BZ$64,57,FALSE)</f>
        <v>542000</v>
      </c>
      <c r="F34" s="51">
        <f>HLOOKUP(B34,'SL Sozio Basis'!$C$8:$BZ$55,48,FALSE)</f>
        <v>0</v>
      </c>
      <c r="G34" s="110">
        <v>0</v>
      </c>
      <c r="H34" s="129">
        <f t="shared" si="0"/>
        <v>2020500</v>
      </c>
      <c r="J34" s="5"/>
    </row>
    <row r="35" spans="1:10" x14ac:dyDescent="0.2">
      <c r="A35" s="96">
        <v>28</v>
      </c>
      <c r="B35" s="124" t="s">
        <v>32</v>
      </c>
      <c r="C35" s="51">
        <f>HLOOKUP(B35,'Ressourcenausgleich Basis'!$C$8:$BZ$151,144,FALSE)</f>
        <v>0</v>
      </c>
      <c r="D35" s="189">
        <f>HLOOKUP(B35,'SL Weite Basis'!$C$8:$BZ$74,67,FALSE)</f>
        <v>13200</v>
      </c>
      <c r="E35" s="110">
        <f>HLOOKUP(B35,'SL Schule Basis'!$C$8:$BZ$64,57,FALSE)</f>
        <v>0</v>
      </c>
      <c r="F35" s="51">
        <f>HLOOKUP(B35,'SL Sozio Basis'!$C$8:$BZ$55,48,FALSE)</f>
        <v>0</v>
      </c>
      <c r="G35" s="110">
        <v>0</v>
      </c>
      <c r="H35" s="129">
        <f t="shared" si="0"/>
        <v>13200</v>
      </c>
      <c r="J35" s="5"/>
    </row>
    <row r="36" spans="1:10" x14ac:dyDescent="0.2">
      <c r="A36" s="96">
        <v>29</v>
      </c>
      <c r="B36" s="124" t="s">
        <v>33</v>
      </c>
      <c r="C36" s="51">
        <f>HLOOKUP(B36,'Ressourcenausgleich Basis'!$C$8:$BZ$151,144,FALSE)</f>
        <v>1769100</v>
      </c>
      <c r="D36" s="189">
        <f>HLOOKUP(B36,'SL Weite Basis'!$C$8:$BZ$74,67,FALSE)</f>
        <v>447200</v>
      </c>
      <c r="E36" s="110">
        <f>HLOOKUP(B36,'SL Schule Basis'!$C$8:$BZ$64,57,FALSE)</f>
        <v>543400</v>
      </c>
      <c r="F36" s="51">
        <f>HLOOKUP(B36,'SL Sozio Basis'!$C$8:$BZ$55,48,FALSE)</f>
        <v>0</v>
      </c>
      <c r="G36" s="110">
        <v>0</v>
      </c>
      <c r="H36" s="129">
        <f t="shared" si="0"/>
        <v>2759700</v>
      </c>
      <c r="J36" s="5"/>
    </row>
    <row r="37" spans="1:10" x14ac:dyDescent="0.2">
      <c r="A37" s="96">
        <v>30</v>
      </c>
      <c r="B37" s="124" t="s">
        <v>34</v>
      </c>
      <c r="C37" s="51">
        <f>HLOOKUP(B37,'Ressourcenausgleich Basis'!$C$8:$BZ$151,144,FALSE)</f>
        <v>2299200</v>
      </c>
      <c r="D37" s="189">
        <f>HLOOKUP(B37,'SL Weite Basis'!$C$8:$BZ$74,67,FALSE)</f>
        <v>1049400</v>
      </c>
      <c r="E37" s="110">
        <f>HLOOKUP(B37,'SL Schule Basis'!$C$8:$BZ$64,57,FALSE)</f>
        <v>808200</v>
      </c>
      <c r="F37" s="51">
        <f>HLOOKUP(B37,'SL Sozio Basis'!$C$8:$BZ$55,48,FALSE)</f>
        <v>0</v>
      </c>
      <c r="G37" s="110">
        <v>0</v>
      </c>
      <c r="H37" s="129">
        <f t="shared" si="0"/>
        <v>4156800</v>
      </c>
      <c r="J37" s="5"/>
    </row>
    <row r="38" spans="1:10" x14ac:dyDescent="0.2">
      <c r="A38" s="96">
        <v>31</v>
      </c>
      <c r="B38" s="124" t="s">
        <v>35</v>
      </c>
      <c r="C38" s="51">
        <f>HLOOKUP(B38,'Ressourcenausgleich Basis'!$C$8:$BZ$151,144,FALSE)</f>
        <v>531100</v>
      </c>
      <c r="D38" s="189">
        <f>HLOOKUP(B38,'SL Weite Basis'!$C$8:$BZ$74,67,FALSE)</f>
        <v>0</v>
      </c>
      <c r="E38" s="110">
        <f>HLOOKUP(B38,'SL Schule Basis'!$C$8:$BZ$64,57,FALSE)</f>
        <v>0</v>
      </c>
      <c r="F38" s="51">
        <f>HLOOKUP(B38,'SL Sozio Basis'!$C$8:$BZ$55,48,FALSE)</f>
        <v>480900</v>
      </c>
      <c r="G38" s="110">
        <v>0</v>
      </c>
      <c r="H38" s="129">
        <f t="shared" si="0"/>
        <v>1012000</v>
      </c>
      <c r="J38" s="5"/>
    </row>
    <row r="39" spans="1:10" x14ac:dyDescent="0.2">
      <c r="A39" s="96">
        <v>32</v>
      </c>
      <c r="B39" s="124" t="s">
        <v>36</v>
      </c>
      <c r="C39" s="51">
        <f>HLOOKUP(B39,'Ressourcenausgleich Basis'!$C$8:$BZ$151,144,FALSE)</f>
        <v>2449300</v>
      </c>
      <c r="D39" s="189">
        <f>HLOOKUP(B39,'SL Weite Basis'!$C$8:$BZ$74,67,FALSE)</f>
        <v>147900</v>
      </c>
      <c r="E39" s="110">
        <f>HLOOKUP(B39,'SL Schule Basis'!$C$8:$BZ$64,57,FALSE)</f>
        <v>642000</v>
      </c>
      <c r="F39" s="51">
        <f>HLOOKUP(B39,'SL Sozio Basis'!$C$8:$BZ$55,48,FALSE)</f>
        <v>26800</v>
      </c>
      <c r="G39" s="110">
        <v>0</v>
      </c>
      <c r="H39" s="129">
        <f t="shared" si="0"/>
        <v>3266000</v>
      </c>
      <c r="J39" s="5"/>
    </row>
    <row r="40" spans="1:10" x14ac:dyDescent="0.2">
      <c r="A40" s="96">
        <v>33</v>
      </c>
      <c r="B40" s="124" t="s">
        <v>37</v>
      </c>
      <c r="C40" s="51">
        <f>HLOOKUP(B40,'Ressourcenausgleich Basis'!$C$8:$BZ$151,144,FALSE)</f>
        <v>4068500</v>
      </c>
      <c r="D40" s="189">
        <f>HLOOKUP(B40,'SL Weite Basis'!$C$8:$BZ$74,67,FALSE)</f>
        <v>383700</v>
      </c>
      <c r="E40" s="110">
        <f>HLOOKUP(B40,'SL Schule Basis'!$C$8:$BZ$64,57,FALSE)</f>
        <v>909500</v>
      </c>
      <c r="F40" s="51">
        <f>HLOOKUP(B40,'SL Sozio Basis'!$C$8:$BZ$55,48,FALSE)</f>
        <v>0</v>
      </c>
      <c r="G40" s="110">
        <v>0</v>
      </c>
      <c r="H40" s="129">
        <f t="shared" ref="H40:H69" si="1">SUM(C40:G40)</f>
        <v>5361700</v>
      </c>
      <c r="J40" s="5"/>
    </row>
    <row r="41" spans="1:10" x14ac:dyDescent="0.2">
      <c r="A41" s="96">
        <v>34</v>
      </c>
      <c r="B41" s="124" t="s">
        <v>38</v>
      </c>
      <c r="C41" s="51">
        <f>HLOOKUP(B41,'Ressourcenausgleich Basis'!$C$8:$BZ$151,144,FALSE)</f>
        <v>2708300</v>
      </c>
      <c r="D41" s="189">
        <f>HLOOKUP(B41,'SL Weite Basis'!$C$8:$BZ$74,67,FALSE)</f>
        <v>0</v>
      </c>
      <c r="E41" s="110">
        <f>HLOOKUP(B41,'SL Schule Basis'!$C$8:$BZ$64,57,FALSE)</f>
        <v>381300</v>
      </c>
      <c r="F41" s="51">
        <f>HLOOKUP(B41,'SL Sozio Basis'!$C$8:$BZ$55,48,FALSE)</f>
        <v>0</v>
      </c>
      <c r="G41" s="110">
        <v>0</v>
      </c>
      <c r="H41" s="129">
        <f t="shared" si="1"/>
        <v>3089600</v>
      </c>
      <c r="J41" s="5"/>
    </row>
    <row r="42" spans="1:10" x14ac:dyDescent="0.2">
      <c r="A42" s="96">
        <v>35</v>
      </c>
      <c r="B42" s="124" t="s">
        <v>39</v>
      </c>
      <c r="C42" s="51">
        <f>HLOOKUP(B42,'Ressourcenausgleich Basis'!$C$8:$BZ$151,144,FALSE)</f>
        <v>2906800</v>
      </c>
      <c r="D42" s="189">
        <f>HLOOKUP(B42,'SL Weite Basis'!$C$8:$BZ$74,67,FALSE)</f>
        <v>178700</v>
      </c>
      <c r="E42" s="110">
        <f>HLOOKUP(B42,'SL Schule Basis'!$C$8:$BZ$64,57,FALSE)</f>
        <v>163400</v>
      </c>
      <c r="F42" s="51">
        <f>HLOOKUP(B42,'SL Sozio Basis'!$C$8:$BZ$55,48,FALSE)</f>
        <v>0</v>
      </c>
      <c r="G42" s="110">
        <v>0</v>
      </c>
      <c r="H42" s="129">
        <f t="shared" si="1"/>
        <v>3248900</v>
      </c>
      <c r="J42" s="5"/>
    </row>
    <row r="43" spans="1:10" x14ac:dyDescent="0.2">
      <c r="A43" s="96">
        <v>36</v>
      </c>
      <c r="B43" s="124" t="s">
        <v>40</v>
      </c>
      <c r="C43" s="51">
        <f>HLOOKUP(B43,'Ressourcenausgleich Basis'!$C$8:$BZ$151,144,FALSE)</f>
        <v>0</v>
      </c>
      <c r="D43" s="189">
        <f>HLOOKUP(B43,'SL Weite Basis'!$C$8:$BZ$74,67,FALSE)</f>
        <v>0</v>
      </c>
      <c r="E43" s="110">
        <f>HLOOKUP(B43,'SL Schule Basis'!$C$8:$BZ$64,57,FALSE)</f>
        <v>0</v>
      </c>
      <c r="F43" s="51">
        <f>HLOOKUP(B43,'SL Sozio Basis'!$C$8:$BZ$55,48,FALSE)</f>
        <v>0</v>
      </c>
      <c r="G43" s="110">
        <v>0</v>
      </c>
      <c r="H43" s="129">
        <f t="shared" si="1"/>
        <v>0</v>
      </c>
      <c r="J43" s="5"/>
    </row>
    <row r="44" spans="1:10" x14ac:dyDescent="0.2">
      <c r="A44" s="96">
        <v>37</v>
      </c>
      <c r="B44" s="124" t="s">
        <v>41</v>
      </c>
      <c r="C44" s="51">
        <f>HLOOKUP(B44,'Ressourcenausgleich Basis'!$C$8:$BZ$151,144,FALSE)</f>
        <v>1301300</v>
      </c>
      <c r="D44" s="189">
        <f>HLOOKUP(B44,'SL Weite Basis'!$C$8:$BZ$74,67,FALSE)</f>
        <v>2370900</v>
      </c>
      <c r="E44" s="110">
        <f>HLOOKUP(B44,'SL Schule Basis'!$C$8:$BZ$64,57,FALSE)</f>
        <v>40000</v>
      </c>
      <c r="F44" s="51">
        <f>HLOOKUP(B44,'SL Sozio Basis'!$C$8:$BZ$55,48,FALSE)</f>
        <v>20200</v>
      </c>
      <c r="G44" s="110">
        <v>0</v>
      </c>
      <c r="H44" s="129">
        <f t="shared" si="1"/>
        <v>3732400</v>
      </c>
      <c r="J44" s="5"/>
    </row>
    <row r="45" spans="1:10" x14ac:dyDescent="0.2">
      <c r="A45" s="96">
        <v>38</v>
      </c>
      <c r="B45" s="124" t="s">
        <v>42</v>
      </c>
      <c r="C45" s="51">
        <f>HLOOKUP(B45,'Ressourcenausgleich Basis'!$C$8:$BZ$151,144,FALSE)</f>
        <v>4638600</v>
      </c>
      <c r="D45" s="189">
        <f>HLOOKUP(B45,'SL Weite Basis'!$C$8:$BZ$74,67,FALSE)</f>
        <v>1186800</v>
      </c>
      <c r="E45" s="110">
        <f>HLOOKUP(B45,'SL Schule Basis'!$C$8:$BZ$64,57,FALSE)</f>
        <v>981000</v>
      </c>
      <c r="F45" s="51">
        <f>HLOOKUP(B45,'SL Sozio Basis'!$C$8:$BZ$55,48,FALSE)</f>
        <v>0</v>
      </c>
      <c r="G45" s="110">
        <v>0</v>
      </c>
      <c r="H45" s="129">
        <f t="shared" si="1"/>
        <v>6806400</v>
      </c>
      <c r="J45" s="5"/>
    </row>
    <row r="46" spans="1:10" x14ac:dyDescent="0.2">
      <c r="A46" s="96">
        <v>39</v>
      </c>
      <c r="B46" s="124" t="s">
        <v>43</v>
      </c>
      <c r="C46" s="51">
        <f>HLOOKUP(B46,'Ressourcenausgleich Basis'!$C$8:$BZ$151,144,FALSE)</f>
        <v>2823100</v>
      </c>
      <c r="D46" s="189">
        <f>HLOOKUP(B46,'SL Weite Basis'!$C$8:$BZ$74,67,FALSE)</f>
        <v>1073200</v>
      </c>
      <c r="E46" s="110">
        <f>HLOOKUP(B46,'SL Schule Basis'!$C$8:$BZ$64,57,FALSE)</f>
        <v>576200</v>
      </c>
      <c r="F46" s="51">
        <f>HLOOKUP(B46,'SL Sozio Basis'!$C$8:$BZ$55,48,FALSE)</f>
        <v>0</v>
      </c>
      <c r="G46" s="110">
        <v>0</v>
      </c>
      <c r="H46" s="129">
        <f t="shared" si="1"/>
        <v>4472500</v>
      </c>
      <c r="J46" s="5"/>
    </row>
    <row r="47" spans="1:10" x14ac:dyDescent="0.2">
      <c r="A47" s="96">
        <v>40</v>
      </c>
      <c r="B47" s="124" t="s">
        <v>44</v>
      </c>
      <c r="C47" s="51">
        <f>HLOOKUP(B47,'Ressourcenausgleich Basis'!$C$8:$BZ$151,144,FALSE)</f>
        <v>2060100</v>
      </c>
      <c r="D47" s="189">
        <f>HLOOKUP(B47,'SL Weite Basis'!$C$8:$BZ$74,67,FALSE)</f>
        <v>0</v>
      </c>
      <c r="E47" s="110">
        <f>HLOOKUP(B47,'SL Schule Basis'!$C$8:$BZ$64,57,FALSE)</f>
        <v>447600</v>
      </c>
      <c r="F47" s="51">
        <f>HLOOKUP(B47,'SL Sozio Basis'!$C$8:$BZ$55,48,FALSE)</f>
        <v>0</v>
      </c>
      <c r="G47" s="110">
        <v>0</v>
      </c>
      <c r="H47" s="129">
        <f t="shared" si="1"/>
        <v>2507700</v>
      </c>
      <c r="J47" s="5"/>
    </row>
    <row r="48" spans="1:10" x14ac:dyDescent="0.2">
      <c r="A48" s="96">
        <v>41</v>
      </c>
      <c r="B48" s="124" t="s">
        <v>45</v>
      </c>
      <c r="C48" s="51">
        <f>HLOOKUP(B48,'Ressourcenausgleich Basis'!$C$8:$BZ$151,144,FALSE)</f>
        <v>266800</v>
      </c>
      <c r="D48" s="189">
        <f>HLOOKUP(B48,'SL Weite Basis'!$C$8:$BZ$74,67,FALSE)</f>
        <v>481100</v>
      </c>
      <c r="E48" s="110">
        <f>HLOOKUP(B48,'SL Schule Basis'!$C$8:$BZ$64,57,FALSE)</f>
        <v>0</v>
      </c>
      <c r="F48" s="51">
        <f>HLOOKUP(B48,'SL Sozio Basis'!$C$8:$BZ$55,48,FALSE)</f>
        <v>0</v>
      </c>
      <c r="G48" s="110">
        <v>0</v>
      </c>
      <c r="H48" s="129">
        <f t="shared" si="1"/>
        <v>747900</v>
      </c>
      <c r="J48" s="5"/>
    </row>
    <row r="49" spans="1:10" x14ac:dyDescent="0.2">
      <c r="A49" s="96">
        <v>42</v>
      </c>
      <c r="B49" s="124" t="s">
        <v>46</v>
      </c>
      <c r="C49" s="51">
        <f>HLOOKUP(B49,'Ressourcenausgleich Basis'!$C$8:$BZ$151,144,FALSE)</f>
        <v>0</v>
      </c>
      <c r="D49" s="189">
        <f>HLOOKUP(B49,'SL Weite Basis'!$C$8:$BZ$74,67,FALSE)</f>
        <v>523500</v>
      </c>
      <c r="E49" s="110">
        <f>HLOOKUP(B49,'SL Schule Basis'!$C$8:$BZ$64,57,FALSE)</f>
        <v>0</v>
      </c>
      <c r="F49" s="51">
        <f>HLOOKUP(B49,'SL Sozio Basis'!$C$8:$BZ$55,48,FALSE)</f>
        <v>0</v>
      </c>
      <c r="G49" s="110">
        <v>0</v>
      </c>
      <c r="H49" s="129">
        <f t="shared" si="1"/>
        <v>523500</v>
      </c>
      <c r="J49" s="5"/>
    </row>
    <row r="50" spans="1:10" x14ac:dyDescent="0.2">
      <c r="A50" s="96">
        <v>43</v>
      </c>
      <c r="B50" s="124" t="s">
        <v>47</v>
      </c>
      <c r="C50" s="51">
        <f>HLOOKUP(B50,'Ressourcenausgleich Basis'!$C$8:$BZ$151,144,FALSE)</f>
        <v>0</v>
      </c>
      <c r="D50" s="189">
        <f>HLOOKUP(B50,'SL Weite Basis'!$C$8:$BZ$74,67,FALSE)</f>
        <v>0</v>
      </c>
      <c r="E50" s="110">
        <f>HLOOKUP(B50,'SL Schule Basis'!$C$8:$BZ$64,57,FALSE)</f>
        <v>0</v>
      </c>
      <c r="F50" s="51">
        <f>HLOOKUP(B50,'SL Sozio Basis'!$C$8:$BZ$55,48,FALSE)</f>
        <v>0</v>
      </c>
      <c r="G50" s="110">
        <v>0</v>
      </c>
      <c r="H50" s="129">
        <f t="shared" si="1"/>
        <v>0</v>
      </c>
      <c r="J50" s="5"/>
    </row>
    <row r="51" spans="1:10" x14ac:dyDescent="0.2">
      <c r="A51" s="96">
        <v>44</v>
      </c>
      <c r="B51" s="124" t="s">
        <v>48</v>
      </c>
      <c r="C51" s="51">
        <f>HLOOKUP(B51,'Ressourcenausgleich Basis'!$C$8:$BZ$151,144,FALSE)</f>
        <v>3325500</v>
      </c>
      <c r="D51" s="189">
        <f>HLOOKUP(B51,'SL Weite Basis'!$C$8:$BZ$74,67,FALSE)</f>
        <v>333400</v>
      </c>
      <c r="E51" s="110">
        <f>HLOOKUP(B51,'SL Schule Basis'!$C$8:$BZ$64,57,FALSE)</f>
        <v>999400</v>
      </c>
      <c r="F51" s="51">
        <f>HLOOKUP(B51,'SL Sozio Basis'!$C$8:$BZ$55,48,FALSE)</f>
        <v>8100</v>
      </c>
      <c r="G51" s="110">
        <v>0</v>
      </c>
      <c r="H51" s="129">
        <f t="shared" si="1"/>
        <v>4666400</v>
      </c>
      <c r="J51" s="5"/>
    </row>
    <row r="52" spans="1:10" x14ac:dyDescent="0.2">
      <c r="A52" s="96">
        <v>45</v>
      </c>
      <c r="B52" s="124" t="s">
        <v>49</v>
      </c>
      <c r="C52" s="51">
        <f>HLOOKUP(B52,'Ressourcenausgleich Basis'!$C$8:$BZ$151,144,FALSE)</f>
        <v>1986900</v>
      </c>
      <c r="D52" s="189">
        <f>HLOOKUP(B52,'SL Weite Basis'!$C$8:$BZ$74,67,FALSE)</f>
        <v>193200</v>
      </c>
      <c r="E52" s="110">
        <f>HLOOKUP(B52,'SL Schule Basis'!$C$8:$BZ$64,57,FALSE)</f>
        <v>799800</v>
      </c>
      <c r="F52" s="51">
        <f>HLOOKUP(B52,'SL Sozio Basis'!$C$8:$BZ$55,48,FALSE)</f>
        <v>0</v>
      </c>
      <c r="G52" s="110">
        <v>0</v>
      </c>
      <c r="H52" s="129">
        <f t="shared" si="1"/>
        <v>2979900</v>
      </c>
      <c r="J52" s="5"/>
    </row>
    <row r="53" spans="1:10" x14ac:dyDescent="0.2">
      <c r="A53" s="96">
        <v>46</v>
      </c>
      <c r="B53" s="124" t="s">
        <v>50</v>
      </c>
      <c r="C53" s="51">
        <f>HLOOKUP(B53,'Ressourcenausgleich Basis'!$C$8:$BZ$151,144,FALSE)</f>
        <v>2847600</v>
      </c>
      <c r="D53" s="189">
        <f>HLOOKUP(B53,'SL Weite Basis'!$C$8:$BZ$74,67,FALSE)</f>
        <v>0</v>
      </c>
      <c r="E53" s="110">
        <f>HLOOKUP(B53,'SL Schule Basis'!$C$8:$BZ$64,57,FALSE)</f>
        <v>346900</v>
      </c>
      <c r="F53" s="51">
        <f>HLOOKUP(B53,'SL Sozio Basis'!$C$8:$BZ$55,48,FALSE)</f>
        <v>0</v>
      </c>
      <c r="G53" s="110">
        <v>0</v>
      </c>
      <c r="H53" s="129">
        <f t="shared" si="1"/>
        <v>3194500</v>
      </c>
      <c r="J53" s="5"/>
    </row>
    <row r="54" spans="1:10" x14ac:dyDescent="0.2">
      <c r="A54" s="96">
        <v>48</v>
      </c>
      <c r="B54" s="124" t="s">
        <v>51</v>
      </c>
      <c r="C54" s="51">
        <f>HLOOKUP(B54,'Ressourcenausgleich Basis'!$C$8:$BZ$151,144,FALSE)</f>
        <v>0</v>
      </c>
      <c r="D54" s="189">
        <f>HLOOKUP(B54,'SL Weite Basis'!$C$8:$BZ$74,67,FALSE)</f>
        <v>172400</v>
      </c>
      <c r="E54" s="110">
        <f>HLOOKUP(B54,'SL Schule Basis'!$C$8:$BZ$64,57,FALSE)</f>
        <v>0</v>
      </c>
      <c r="F54" s="51">
        <f>HLOOKUP(B54,'SL Sozio Basis'!$C$8:$BZ$55,48,FALSE)</f>
        <v>0</v>
      </c>
      <c r="G54" s="110">
        <v>0</v>
      </c>
      <c r="H54" s="129">
        <f t="shared" si="1"/>
        <v>172400</v>
      </c>
      <c r="J54" s="5"/>
    </row>
    <row r="55" spans="1:10" x14ac:dyDescent="0.2">
      <c r="A55" s="96">
        <v>50</v>
      </c>
      <c r="B55" s="124" t="s">
        <v>52</v>
      </c>
      <c r="C55" s="51">
        <f>HLOOKUP(B55,'Ressourcenausgleich Basis'!$C$8:$BZ$151,144,FALSE)</f>
        <v>1662700</v>
      </c>
      <c r="D55" s="189">
        <f>HLOOKUP(B55,'SL Weite Basis'!$C$8:$BZ$74,67,FALSE)</f>
        <v>0</v>
      </c>
      <c r="E55" s="110">
        <f>HLOOKUP(B55,'SL Schule Basis'!$C$8:$BZ$64,57,FALSE)</f>
        <v>670300</v>
      </c>
      <c r="F55" s="51">
        <f>HLOOKUP(B55,'SL Sozio Basis'!$C$8:$BZ$55,48,FALSE)</f>
        <v>148800</v>
      </c>
      <c r="G55" s="110">
        <v>0</v>
      </c>
      <c r="H55" s="129">
        <f t="shared" si="1"/>
        <v>2481800</v>
      </c>
      <c r="J55" s="5"/>
    </row>
    <row r="56" spans="1:10" x14ac:dyDescent="0.2">
      <c r="A56" s="96">
        <v>51</v>
      </c>
      <c r="B56" s="124" t="s">
        <v>53</v>
      </c>
      <c r="C56" s="51">
        <f>HLOOKUP(B56,'Ressourcenausgleich Basis'!$C$8:$BZ$151,144,FALSE)</f>
        <v>0</v>
      </c>
      <c r="D56" s="189">
        <f>HLOOKUP(B56,'SL Weite Basis'!$C$8:$BZ$74,67,FALSE)</f>
        <v>0</v>
      </c>
      <c r="E56" s="110">
        <f>HLOOKUP(B56,'SL Schule Basis'!$C$8:$BZ$64,57,FALSE)</f>
        <v>0</v>
      </c>
      <c r="F56" s="51">
        <f>HLOOKUP(B56,'SL Sozio Basis'!$C$8:$BZ$55,48,FALSE)</f>
        <v>0</v>
      </c>
      <c r="G56" s="110">
        <v>0</v>
      </c>
      <c r="H56" s="129">
        <f t="shared" si="1"/>
        <v>0</v>
      </c>
      <c r="J56" s="5"/>
    </row>
    <row r="57" spans="1:10" x14ac:dyDescent="0.2">
      <c r="A57" s="96">
        <v>52</v>
      </c>
      <c r="B57" s="124" t="s">
        <v>54</v>
      </c>
      <c r="C57" s="51">
        <f>HLOOKUP(B57,'Ressourcenausgleich Basis'!$C$8:$BZ$151,144,FALSE)</f>
        <v>0</v>
      </c>
      <c r="D57" s="189">
        <f>HLOOKUP(B57,'SL Weite Basis'!$C$8:$BZ$74,67,FALSE)</f>
        <v>0</v>
      </c>
      <c r="E57" s="110">
        <f>HLOOKUP(B57,'SL Schule Basis'!$C$8:$BZ$64,57,FALSE)</f>
        <v>0</v>
      </c>
      <c r="F57" s="51">
        <f>HLOOKUP(B57,'SL Sozio Basis'!$C$8:$BZ$55,48,FALSE)</f>
        <v>199300</v>
      </c>
      <c r="G57" s="110">
        <v>0</v>
      </c>
      <c r="H57" s="129">
        <f t="shared" si="1"/>
        <v>199300</v>
      </c>
      <c r="J57" s="5"/>
    </row>
    <row r="58" spans="1:10" x14ac:dyDescent="0.2">
      <c r="A58" s="96">
        <v>54</v>
      </c>
      <c r="B58" s="124" t="s">
        <v>55</v>
      </c>
      <c r="C58" s="51">
        <f>HLOOKUP(B58,'Ressourcenausgleich Basis'!$C$8:$BZ$151,144,FALSE)</f>
        <v>1292300</v>
      </c>
      <c r="D58" s="189">
        <f>HLOOKUP(B58,'SL Weite Basis'!$C$8:$BZ$74,67,FALSE)</f>
        <v>1431100</v>
      </c>
      <c r="E58" s="110">
        <f>HLOOKUP(B58,'SL Schule Basis'!$C$8:$BZ$64,57,FALSE)</f>
        <v>1032200</v>
      </c>
      <c r="F58" s="51">
        <f>HLOOKUP(B58,'SL Sozio Basis'!$C$8:$BZ$55,48,FALSE)</f>
        <v>0</v>
      </c>
      <c r="G58" s="110">
        <v>0</v>
      </c>
      <c r="H58" s="129">
        <f t="shared" si="1"/>
        <v>3755600</v>
      </c>
      <c r="J58" s="5"/>
    </row>
    <row r="59" spans="1:10" x14ac:dyDescent="0.2">
      <c r="A59" s="96">
        <v>57</v>
      </c>
      <c r="B59" s="124" t="s">
        <v>56</v>
      </c>
      <c r="C59" s="51">
        <f>HLOOKUP(B59,'Ressourcenausgleich Basis'!$C$8:$BZ$151,144,FALSE)</f>
        <v>161100</v>
      </c>
      <c r="D59" s="189">
        <f>HLOOKUP(B59,'SL Weite Basis'!$C$8:$BZ$74,67,FALSE)</f>
        <v>2262000</v>
      </c>
      <c r="E59" s="110">
        <f>HLOOKUP(B59,'SL Schule Basis'!$C$8:$BZ$64,57,FALSE)</f>
        <v>389000</v>
      </c>
      <c r="F59" s="51">
        <f>HLOOKUP(B59,'SL Sozio Basis'!$C$8:$BZ$55,48,FALSE)</f>
        <v>0</v>
      </c>
      <c r="G59" s="110">
        <v>0</v>
      </c>
      <c r="H59" s="129">
        <f t="shared" si="1"/>
        <v>2812100</v>
      </c>
      <c r="J59" s="5"/>
    </row>
    <row r="60" spans="1:10" x14ac:dyDescent="0.2">
      <c r="A60" s="96">
        <v>60</v>
      </c>
      <c r="B60" s="124" t="s">
        <v>57</v>
      </c>
      <c r="C60" s="51">
        <f>HLOOKUP(B60,'Ressourcenausgleich Basis'!$C$8:$BZ$151,144,FALSE)</f>
        <v>2963600</v>
      </c>
      <c r="D60" s="189">
        <f>HLOOKUP(B60,'SL Weite Basis'!$C$8:$BZ$74,67,FALSE)</f>
        <v>2389900</v>
      </c>
      <c r="E60" s="110">
        <f>HLOOKUP(B60,'SL Schule Basis'!$C$8:$BZ$64,57,FALSE)</f>
        <v>0</v>
      </c>
      <c r="F60" s="51">
        <f>HLOOKUP(B60,'SL Sozio Basis'!$C$8:$BZ$55,48,FALSE)</f>
        <v>0</v>
      </c>
      <c r="G60" s="110">
        <v>0</v>
      </c>
      <c r="H60" s="129">
        <f t="shared" si="1"/>
        <v>5353500</v>
      </c>
      <c r="J60" s="5"/>
    </row>
    <row r="61" spans="1:10" x14ac:dyDescent="0.2">
      <c r="A61" s="96">
        <v>62</v>
      </c>
      <c r="B61" s="124" t="s">
        <v>58</v>
      </c>
      <c r="C61" s="51">
        <f>HLOOKUP(B61,'Ressourcenausgleich Basis'!$C$8:$BZ$151,144,FALSE)</f>
        <v>3764400</v>
      </c>
      <c r="D61" s="189">
        <f>HLOOKUP(B61,'SL Weite Basis'!$C$8:$BZ$74,67,FALSE)</f>
        <v>1419100</v>
      </c>
      <c r="E61" s="110">
        <f>HLOOKUP(B61,'SL Schule Basis'!$C$8:$BZ$64,57,FALSE)</f>
        <v>207900</v>
      </c>
      <c r="F61" s="51">
        <f>HLOOKUP(B61,'SL Sozio Basis'!$C$8:$BZ$55,48,FALSE)</f>
        <v>242500</v>
      </c>
      <c r="G61" s="110">
        <v>0</v>
      </c>
      <c r="H61" s="129">
        <f t="shared" si="1"/>
        <v>5633900</v>
      </c>
      <c r="J61" s="5"/>
    </row>
    <row r="62" spans="1:10" x14ac:dyDescent="0.2">
      <c r="A62" s="96">
        <v>63</v>
      </c>
      <c r="B62" s="124" t="s">
        <v>59</v>
      </c>
      <c r="C62" s="51">
        <f>HLOOKUP(B62,'Ressourcenausgleich Basis'!$C$8:$BZ$151,144,FALSE)</f>
        <v>7533900</v>
      </c>
      <c r="D62" s="189">
        <f>HLOOKUP(B62,'SL Weite Basis'!$C$8:$BZ$74,67,FALSE)</f>
        <v>1089500</v>
      </c>
      <c r="E62" s="110">
        <f>HLOOKUP(B62,'SL Schule Basis'!$C$8:$BZ$64,57,FALSE)</f>
        <v>20900</v>
      </c>
      <c r="F62" s="51">
        <f>HLOOKUP(B62,'SL Sozio Basis'!$C$8:$BZ$55,48,FALSE)</f>
        <v>814200</v>
      </c>
      <c r="G62" s="110">
        <v>0</v>
      </c>
      <c r="H62" s="129">
        <f t="shared" si="1"/>
        <v>9458500</v>
      </c>
      <c r="J62" s="5"/>
    </row>
    <row r="63" spans="1:10" x14ac:dyDescent="0.2">
      <c r="A63" s="96">
        <v>64</v>
      </c>
      <c r="B63" s="124" t="s">
        <v>60</v>
      </c>
      <c r="C63" s="51">
        <f>HLOOKUP(B63,'Ressourcenausgleich Basis'!$C$8:$BZ$151,144,FALSE)</f>
        <v>1235700</v>
      </c>
      <c r="D63" s="189">
        <f>HLOOKUP(B63,'SL Weite Basis'!$C$8:$BZ$74,67,FALSE)</f>
        <v>0</v>
      </c>
      <c r="E63" s="110">
        <f>HLOOKUP(B63,'SL Schule Basis'!$C$8:$BZ$64,57,FALSE)</f>
        <v>0</v>
      </c>
      <c r="F63" s="51">
        <f>HLOOKUP(B63,'SL Sozio Basis'!$C$8:$BZ$55,48,FALSE)</f>
        <v>3500</v>
      </c>
      <c r="G63" s="110">
        <v>0</v>
      </c>
      <c r="H63" s="129">
        <f t="shared" si="1"/>
        <v>1239200</v>
      </c>
      <c r="J63" s="5"/>
    </row>
    <row r="64" spans="1:10" x14ac:dyDescent="0.2">
      <c r="A64" s="96">
        <v>66</v>
      </c>
      <c r="B64" s="124" t="s">
        <v>384</v>
      </c>
      <c r="C64" s="51">
        <f>HLOOKUP(B64,'Ressourcenausgleich Basis'!$C$8:$BZ$151,144,FALSE)</f>
        <v>6864800</v>
      </c>
      <c r="D64" s="189">
        <f>HLOOKUP(B64,'SL Weite Basis'!$C$8:$BZ$74,67,FALSE)</f>
        <v>5069400</v>
      </c>
      <c r="E64" s="110">
        <f>HLOOKUP(B64,'SL Schule Basis'!$C$8:$BZ$64,57,FALSE)</f>
        <v>1410600</v>
      </c>
      <c r="F64" s="51">
        <f>HLOOKUP(B64,'SL Sozio Basis'!$C$8:$BZ$55,48,FALSE)</f>
        <v>126700</v>
      </c>
      <c r="G64" s="110">
        <v>0</v>
      </c>
      <c r="H64" s="129">
        <f t="shared" ref="H64" si="2">SUM(C64:G64)</f>
        <v>13471500</v>
      </c>
      <c r="I64" s="38"/>
      <c r="J64" s="5"/>
    </row>
    <row r="65" spans="1:10" x14ac:dyDescent="0.2">
      <c r="A65" s="96">
        <v>70</v>
      </c>
      <c r="B65" s="124" t="s">
        <v>61</v>
      </c>
      <c r="C65" s="51">
        <f>HLOOKUP(B65,'Ressourcenausgleich Basis'!$C$8:$BZ$151,144,FALSE)</f>
        <v>3327100</v>
      </c>
      <c r="D65" s="189">
        <f>HLOOKUP(B65,'SL Weite Basis'!$C$8:$BZ$74,67,FALSE)</f>
        <v>700800</v>
      </c>
      <c r="E65" s="110">
        <f>HLOOKUP(B65,'SL Schule Basis'!$C$8:$BZ$64,57,FALSE)</f>
        <v>506200</v>
      </c>
      <c r="F65" s="51">
        <f>HLOOKUP(B65,'SL Sozio Basis'!$C$8:$BZ$55,48,FALSE)</f>
        <v>123900</v>
      </c>
      <c r="G65" s="110">
        <v>0</v>
      </c>
      <c r="H65" s="129">
        <f t="shared" si="1"/>
        <v>4658000</v>
      </c>
      <c r="J65" s="5"/>
    </row>
    <row r="66" spans="1:10" x14ac:dyDescent="0.2">
      <c r="A66" s="96">
        <v>71</v>
      </c>
      <c r="B66" s="124" t="s">
        <v>62</v>
      </c>
      <c r="C66" s="51">
        <f>HLOOKUP(B66,'Ressourcenausgleich Basis'!$C$8:$BZ$151,144,FALSE)</f>
        <v>1301100</v>
      </c>
      <c r="D66" s="189">
        <f>HLOOKUP(B66,'SL Weite Basis'!$C$8:$BZ$74,67,FALSE)</f>
        <v>633000</v>
      </c>
      <c r="E66" s="110">
        <f>HLOOKUP(B66,'SL Schule Basis'!$C$8:$BZ$64,57,FALSE)</f>
        <v>593200</v>
      </c>
      <c r="F66" s="51">
        <f>HLOOKUP(B66,'SL Sozio Basis'!$C$8:$BZ$55,48,FALSE)</f>
        <v>0</v>
      </c>
      <c r="G66" s="110">
        <v>0</v>
      </c>
      <c r="H66" s="129">
        <f t="shared" si="1"/>
        <v>2527300</v>
      </c>
      <c r="J66" s="5"/>
    </row>
    <row r="67" spans="1:10" x14ac:dyDescent="0.2">
      <c r="A67" s="96">
        <v>72</v>
      </c>
      <c r="B67" s="124" t="s">
        <v>63</v>
      </c>
      <c r="C67" s="51">
        <f>HLOOKUP(B67,'Ressourcenausgleich Basis'!$C$8:$BZ$151,144,FALSE)</f>
        <v>3250100</v>
      </c>
      <c r="D67" s="189">
        <f>HLOOKUP(B67,'SL Weite Basis'!$C$8:$BZ$74,67,FALSE)</f>
        <v>1942600</v>
      </c>
      <c r="E67" s="110">
        <f>HLOOKUP(B67,'SL Schule Basis'!$C$8:$BZ$64,57,FALSE)</f>
        <v>1240600</v>
      </c>
      <c r="F67" s="51">
        <f>HLOOKUP(B67,'SL Sozio Basis'!$C$8:$BZ$55,48,FALSE)</f>
        <v>33100</v>
      </c>
      <c r="G67" s="110">
        <v>0</v>
      </c>
      <c r="H67" s="129">
        <f t="shared" si="1"/>
        <v>6466400</v>
      </c>
      <c r="J67" s="5"/>
    </row>
    <row r="68" spans="1:10" x14ac:dyDescent="0.2">
      <c r="A68" s="96">
        <v>73</v>
      </c>
      <c r="B68" s="124" t="s">
        <v>64</v>
      </c>
      <c r="C68" s="51">
        <f>HLOOKUP(B68,'Ressourcenausgleich Basis'!$C$8:$BZ$151,144,FALSE)</f>
        <v>4217300</v>
      </c>
      <c r="D68" s="189">
        <f>HLOOKUP(B68,'SL Weite Basis'!$C$8:$BZ$74,67,FALSE)</f>
        <v>2197900</v>
      </c>
      <c r="E68" s="110">
        <f>HLOOKUP(B68,'SL Schule Basis'!$C$8:$BZ$64,57,FALSE)</f>
        <v>2523000</v>
      </c>
      <c r="F68" s="51">
        <f>HLOOKUP(B68,'SL Sozio Basis'!$C$8:$BZ$55,48,FALSE)</f>
        <v>686800</v>
      </c>
      <c r="G68" s="110">
        <v>0</v>
      </c>
      <c r="H68" s="129">
        <f t="shared" si="1"/>
        <v>9625000</v>
      </c>
      <c r="J68" s="5"/>
    </row>
    <row r="69" spans="1:10" x14ac:dyDescent="0.2">
      <c r="A69" s="96">
        <v>76</v>
      </c>
      <c r="B69" s="124" t="s">
        <v>65</v>
      </c>
      <c r="C69" s="51">
        <f>HLOOKUP(B69,'Ressourcenausgleich Basis'!$C$8:$BZ$151,144,FALSE)</f>
        <v>1066800</v>
      </c>
      <c r="D69" s="189">
        <f>HLOOKUP(B69,'SL Weite Basis'!$C$8:$BZ$74,67,FALSE)</f>
        <v>0</v>
      </c>
      <c r="E69" s="110">
        <f>HLOOKUP(B69,'SL Schule Basis'!$C$8:$BZ$64,57,FALSE)</f>
        <v>1041900</v>
      </c>
      <c r="F69" s="51">
        <f>HLOOKUP(B69,'SL Sozio Basis'!$C$8:$BZ$55,48,FALSE)</f>
        <v>0</v>
      </c>
      <c r="G69" s="110">
        <v>0</v>
      </c>
      <c r="H69" s="129">
        <f t="shared" si="1"/>
        <v>2108700</v>
      </c>
      <c r="J69" s="5"/>
    </row>
    <row r="70" spans="1:10" x14ac:dyDescent="0.2">
      <c r="A70" s="96">
        <v>77</v>
      </c>
      <c r="B70" s="124" t="s">
        <v>66</v>
      </c>
      <c r="C70" s="51">
        <f>HLOOKUP(B70,'Ressourcenausgleich Basis'!$C$8:$BZ$151,144,FALSE)</f>
        <v>2122000</v>
      </c>
      <c r="D70" s="189">
        <f>HLOOKUP(B70,'SL Weite Basis'!$C$8:$BZ$74,67,FALSE)</f>
        <v>0</v>
      </c>
      <c r="E70" s="110">
        <f>HLOOKUP(B70,'SL Schule Basis'!$C$8:$BZ$64,57,FALSE)</f>
        <v>785000</v>
      </c>
      <c r="F70" s="51">
        <f>HLOOKUP(B70,'SL Sozio Basis'!$C$8:$BZ$55,48,FALSE)</f>
        <v>0</v>
      </c>
      <c r="G70" s="110">
        <v>0</v>
      </c>
      <c r="H70" s="129">
        <f t="shared" ref="H70:H82" si="3">SUM(C70:G70)</f>
        <v>2907000</v>
      </c>
      <c r="J70" s="5"/>
    </row>
    <row r="71" spans="1:10" x14ac:dyDescent="0.2">
      <c r="A71" s="96">
        <v>78</v>
      </c>
      <c r="B71" s="124" t="s">
        <v>67</v>
      </c>
      <c r="C71" s="51">
        <f>HLOOKUP(B71,'Ressourcenausgleich Basis'!$C$8:$BZ$151,144,FALSE)</f>
        <v>5831100</v>
      </c>
      <c r="D71" s="189">
        <f>HLOOKUP(B71,'SL Weite Basis'!$C$8:$BZ$74,67,FALSE)</f>
        <v>0</v>
      </c>
      <c r="E71" s="110">
        <f>HLOOKUP(B71,'SL Schule Basis'!$C$8:$BZ$64,57,FALSE)</f>
        <v>1806900</v>
      </c>
      <c r="F71" s="51">
        <f>HLOOKUP(B71,'SL Sozio Basis'!$C$8:$BZ$55,48,FALSE)</f>
        <v>0</v>
      </c>
      <c r="G71" s="110">
        <v>0</v>
      </c>
      <c r="H71" s="129">
        <f t="shared" si="3"/>
        <v>7638000</v>
      </c>
      <c r="J71" s="5"/>
    </row>
    <row r="72" spans="1:10" x14ac:dyDescent="0.2">
      <c r="A72" s="96">
        <v>79</v>
      </c>
      <c r="B72" s="124" t="s">
        <v>68</v>
      </c>
      <c r="C72" s="51">
        <f>HLOOKUP(B72,'Ressourcenausgleich Basis'!$C$8:$BZ$151,144,FALSE)</f>
        <v>5882900</v>
      </c>
      <c r="D72" s="189">
        <f>HLOOKUP(B72,'SL Weite Basis'!$C$8:$BZ$74,67,FALSE)</f>
        <v>0</v>
      </c>
      <c r="E72" s="110">
        <f>HLOOKUP(B72,'SL Schule Basis'!$C$8:$BZ$64,57,FALSE)</f>
        <v>1596600</v>
      </c>
      <c r="F72" s="51">
        <f>HLOOKUP(B72,'SL Sozio Basis'!$C$8:$BZ$55,48,FALSE)</f>
        <v>344600</v>
      </c>
      <c r="G72" s="110">
        <v>0</v>
      </c>
      <c r="H72" s="129">
        <f t="shared" si="3"/>
        <v>7824100</v>
      </c>
      <c r="J72" s="5"/>
    </row>
    <row r="73" spans="1:10" x14ac:dyDescent="0.2">
      <c r="A73" s="96">
        <v>80</v>
      </c>
      <c r="B73" s="124" t="s">
        <v>69</v>
      </c>
      <c r="C73" s="51">
        <f>HLOOKUP(B73,'Ressourcenausgleich Basis'!$C$8:$BZ$151,144,FALSE)</f>
        <v>3159900</v>
      </c>
      <c r="D73" s="189">
        <f>HLOOKUP(B73,'SL Weite Basis'!$C$8:$BZ$74,67,FALSE)</f>
        <v>898600</v>
      </c>
      <c r="E73" s="110">
        <f>HLOOKUP(B73,'SL Schule Basis'!$C$8:$BZ$64,57,FALSE)</f>
        <v>1140400</v>
      </c>
      <c r="F73" s="51">
        <f>HLOOKUP(B73,'SL Sozio Basis'!$C$8:$BZ$55,48,FALSE)</f>
        <v>244800</v>
      </c>
      <c r="G73" s="110">
        <v>0</v>
      </c>
      <c r="H73" s="129">
        <f t="shared" si="3"/>
        <v>5443700</v>
      </c>
      <c r="J73" s="5"/>
    </row>
    <row r="74" spans="1:10" x14ac:dyDescent="0.2">
      <c r="A74" s="96">
        <v>81</v>
      </c>
      <c r="B74" s="124" t="s">
        <v>70</v>
      </c>
      <c r="C74" s="51">
        <f>HLOOKUP(B74,'Ressourcenausgleich Basis'!$C$8:$BZ$151,144,FALSE)</f>
        <v>0</v>
      </c>
      <c r="D74" s="189">
        <f>HLOOKUP(B74,'SL Weite Basis'!$C$8:$BZ$74,67,FALSE)</f>
        <v>0</v>
      </c>
      <c r="E74" s="110">
        <f>HLOOKUP(B74,'SL Schule Basis'!$C$8:$BZ$64,57,FALSE)</f>
        <v>0</v>
      </c>
      <c r="F74" s="51">
        <f>HLOOKUP(B74,'SL Sozio Basis'!$C$8:$BZ$55,48,FALSE)</f>
        <v>2726700</v>
      </c>
      <c r="G74" s="110">
        <v>0</v>
      </c>
      <c r="H74" s="129">
        <f t="shared" si="3"/>
        <v>2726700</v>
      </c>
      <c r="J74" s="5"/>
    </row>
    <row r="75" spans="1:10" x14ac:dyDescent="0.2">
      <c r="A75" s="96">
        <v>83</v>
      </c>
      <c r="B75" s="124" t="s">
        <v>71</v>
      </c>
      <c r="C75" s="51">
        <f>HLOOKUP(B75,'Ressourcenausgleich Basis'!$C$8:$BZ$151,144,FALSE)</f>
        <v>0</v>
      </c>
      <c r="D75" s="189">
        <f>HLOOKUP(B75,'SL Weite Basis'!$C$8:$BZ$74,67,FALSE)</f>
        <v>0</v>
      </c>
      <c r="E75" s="110">
        <f>HLOOKUP(B75,'SL Schule Basis'!$C$8:$BZ$64,57,FALSE)</f>
        <v>0</v>
      </c>
      <c r="F75" s="51">
        <f>HLOOKUP(B75,'SL Sozio Basis'!$C$8:$BZ$55,48,FALSE)</f>
        <v>0</v>
      </c>
      <c r="G75" s="110">
        <v>0</v>
      </c>
      <c r="H75" s="129">
        <f t="shared" si="3"/>
        <v>0</v>
      </c>
      <c r="J75" s="5"/>
    </row>
    <row r="76" spans="1:10" x14ac:dyDescent="0.2">
      <c r="A76" s="96">
        <v>84</v>
      </c>
      <c r="B76" s="124" t="s">
        <v>72</v>
      </c>
      <c r="C76" s="51">
        <f>HLOOKUP(B76,'Ressourcenausgleich Basis'!$C$8:$BZ$151,144,FALSE)</f>
        <v>0</v>
      </c>
      <c r="D76" s="189">
        <f>HLOOKUP(B76,'SL Weite Basis'!$C$8:$BZ$74,67,FALSE)</f>
        <v>739100</v>
      </c>
      <c r="E76" s="110">
        <f>HLOOKUP(B76,'SL Schule Basis'!$C$8:$BZ$64,57,FALSE)</f>
        <v>519000</v>
      </c>
      <c r="F76" s="51">
        <f>HLOOKUP(B76,'SL Sozio Basis'!$C$8:$BZ$55,48,FALSE)</f>
        <v>0</v>
      </c>
      <c r="G76" s="110">
        <v>0</v>
      </c>
      <c r="H76" s="129">
        <f t="shared" si="3"/>
        <v>1258100</v>
      </c>
      <c r="J76" s="5"/>
    </row>
    <row r="77" spans="1:10" x14ac:dyDescent="0.2">
      <c r="A77" s="96">
        <v>85</v>
      </c>
      <c r="B77" s="124" t="s">
        <v>73</v>
      </c>
      <c r="C77" s="51">
        <f>HLOOKUP(B77,'Ressourcenausgleich Basis'!$C$8:$BZ$151,144,FALSE)</f>
        <v>655600</v>
      </c>
      <c r="D77" s="189">
        <f>HLOOKUP(B77,'SL Weite Basis'!$C$8:$BZ$74,67,FALSE)</f>
        <v>548200</v>
      </c>
      <c r="E77" s="110">
        <f>HLOOKUP(B77,'SL Schule Basis'!$C$8:$BZ$64,57,FALSE)</f>
        <v>535600</v>
      </c>
      <c r="F77" s="51">
        <f>HLOOKUP(B77,'SL Sozio Basis'!$C$8:$BZ$55,48,FALSE)</f>
        <v>0</v>
      </c>
      <c r="G77" s="110">
        <v>0</v>
      </c>
      <c r="H77" s="129">
        <f t="shared" si="3"/>
        <v>1739400</v>
      </c>
      <c r="J77" s="5"/>
    </row>
    <row r="78" spans="1:10" x14ac:dyDescent="0.2">
      <c r="A78" s="96">
        <v>86</v>
      </c>
      <c r="B78" s="124" t="s">
        <v>74</v>
      </c>
      <c r="C78" s="51">
        <f>HLOOKUP(B78,'Ressourcenausgleich Basis'!$C$8:$BZ$151,144,FALSE)</f>
        <v>1337200</v>
      </c>
      <c r="D78" s="189">
        <f>HLOOKUP(B78,'SL Weite Basis'!$C$8:$BZ$74,67,FALSE)</f>
        <v>583900</v>
      </c>
      <c r="E78" s="110">
        <f>HLOOKUP(B78,'SL Schule Basis'!$C$8:$BZ$64,57,FALSE)</f>
        <v>1237200</v>
      </c>
      <c r="F78" s="51">
        <f>HLOOKUP(B78,'SL Sozio Basis'!$C$8:$BZ$55,48,FALSE)</f>
        <v>0</v>
      </c>
      <c r="G78" s="110">
        <v>0</v>
      </c>
      <c r="H78" s="129">
        <f t="shared" si="3"/>
        <v>3158300</v>
      </c>
      <c r="J78" s="5"/>
    </row>
    <row r="79" spans="1:10" x14ac:dyDescent="0.2">
      <c r="A79" s="96">
        <v>87</v>
      </c>
      <c r="B79" s="124" t="s">
        <v>75</v>
      </c>
      <c r="C79" s="51">
        <f>HLOOKUP(B79,'Ressourcenausgleich Basis'!$C$8:$BZ$151,144,FALSE)</f>
        <v>0</v>
      </c>
      <c r="D79" s="189">
        <f>HLOOKUP(B79,'SL Weite Basis'!$C$8:$BZ$74,67,FALSE)</f>
        <v>0</v>
      </c>
      <c r="E79" s="110">
        <f>HLOOKUP(B79,'SL Schule Basis'!$C$8:$BZ$64,57,FALSE)</f>
        <v>0</v>
      </c>
      <c r="F79" s="51">
        <f>HLOOKUP(B79,'SL Sozio Basis'!$C$8:$BZ$55,48,FALSE)</f>
        <v>0</v>
      </c>
      <c r="G79" s="110">
        <v>0</v>
      </c>
      <c r="H79" s="129">
        <f t="shared" si="3"/>
        <v>0</v>
      </c>
      <c r="J79" s="5"/>
    </row>
    <row r="80" spans="1:10" x14ac:dyDescent="0.2">
      <c r="A80" s="96">
        <v>88</v>
      </c>
      <c r="B80" s="124" t="s">
        <v>76</v>
      </c>
      <c r="C80" s="51">
        <f>HLOOKUP(B80,'Ressourcenausgleich Basis'!$C$8:$BZ$151,144,FALSE)</f>
        <v>21200</v>
      </c>
      <c r="D80" s="189">
        <f>HLOOKUP(B80,'SL Weite Basis'!$C$8:$BZ$74,67,FALSE)</f>
        <v>114400</v>
      </c>
      <c r="E80" s="110">
        <f>HLOOKUP(B80,'SL Schule Basis'!$C$8:$BZ$64,57,FALSE)</f>
        <v>609500</v>
      </c>
      <c r="F80" s="51">
        <f>HLOOKUP(B80,'SL Sozio Basis'!$C$8:$BZ$55,48,FALSE)</f>
        <v>0</v>
      </c>
      <c r="G80" s="110">
        <v>0</v>
      </c>
      <c r="H80" s="129">
        <f t="shared" si="3"/>
        <v>745100</v>
      </c>
      <c r="J80" s="5"/>
    </row>
    <row r="81" spans="1:10" x14ac:dyDescent="0.2">
      <c r="A81" s="96">
        <v>89</v>
      </c>
      <c r="B81" s="124" t="s">
        <v>77</v>
      </c>
      <c r="C81" s="51">
        <f>HLOOKUP(B81,'Ressourcenausgleich Basis'!$C$8:$BZ$151,144,FALSE)</f>
        <v>1650000</v>
      </c>
      <c r="D81" s="189">
        <f>HLOOKUP(B81,'SL Weite Basis'!$C$8:$BZ$74,67,FALSE)</f>
        <v>1834600</v>
      </c>
      <c r="E81" s="110">
        <f>HLOOKUP(B81,'SL Schule Basis'!$C$8:$BZ$64,57,FALSE)</f>
        <v>1481300</v>
      </c>
      <c r="F81" s="51">
        <f>HLOOKUP(B81,'SL Sozio Basis'!$C$8:$BZ$55,48,FALSE)</f>
        <v>76000</v>
      </c>
      <c r="G81" s="110">
        <v>0</v>
      </c>
      <c r="H81" s="129">
        <f t="shared" si="3"/>
        <v>5041900</v>
      </c>
      <c r="J81" s="5"/>
    </row>
    <row r="82" spans="1:10" x14ac:dyDescent="0.2">
      <c r="A82" s="101">
        <v>90</v>
      </c>
      <c r="B82" s="125" t="s">
        <v>78</v>
      </c>
      <c r="C82" s="102">
        <f>HLOOKUP(B82,'Ressourcenausgleich Basis'!$C$8:$BZ$151,144,FALSE)</f>
        <v>0</v>
      </c>
      <c r="D82" s="190">
        <f>HLOOKUP(B82,'SL Weite Basis'!$C$8:$BZ$74,67,FALSE)</f>
        <v>0</v>
      </c>
      <c r="E82" s="111">
        <f>HLOOKUP(B82,'SL Schule Basis'!$C$8:$BZ$64,57,FALSE)</f>
        <v>146500</v>
      </c>
      <c r="F82" s="102">
        <f>HLOOKUP(B82,'SL Sozio Basis'!$C$8:$BZ$55,48,FALSE)</f>
        <v>0</v>
      </c>
      <c r="G82" s="111">
        <v>0</v>
      </c>
      <c r="H82" s="130">
        <f t="shared" si="3"/>
        <v>146500</v>
      </c>
      <c r="J82" s="5"/>
    </row>
    <row r="83" spans="1:10" x14ac:dyDescent="0.2">
      <c r="A83" s="103"/>
      <c r="B83" s="126" t="s">
        <v>79</v>
      </c>
      <c r="C83" s="104">
        <f>SUM(C8:C82)</f>
        <v>115049300</v>
      </c>
      <c r="D83" s="112">
        <f t="shared" ref="D83:H83" si="4">SUM(D8:D82)</f>
        <v>37613300</v>
      </c>
      <c r="E83" s="192">
        <f>SUM(E8:E82)</f>
        <v>30726800</v>
      </c>
      <c r="F83" s="104">
        <f t="shared" si="4"/>
        <v>26497800</v>
      </c>
      <c r="G83" s="112">
        <f t="shared" si="4"/>
        <v>16818100</v>
      </c>
      <c r="H83" s="112">
        <f t="shared" si="4"/>
        <v>226705300</v>
      </c>
      <c r="J83" s="5"/>
    </row>
    <row r="84" spans="1:10" x14ac:dyDescent="0.2">
      <c r="J84" s="5"/>
    </row>
  </sheetData>
  <pageMargins left="0.51181102362204722" right="0.51181102362204722" top="0.39370078740157483" bottom="0.39370078740157483" header="0.31496062992125984" footer="0.31496062992125984"/>
  <pageSetup paperSize="9" scale="7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ES87"/>
  <sheetViews>
    <sheetView topLeftCell="W1" zoomScaleNormal="100" workbookViewId="0">
      <selection activeCell="B7" sqref="B7:E7"/>
    </sheetView>
  </sheetViews>
  <sheetFormatPr baseColWidth="10" defaultRowHeight="12.75" x14ac:dyDescent="0.2"/>
  <cols>
    <col min="1" max="1" width="4" style="3" customWidth="1"/>
    <col min="2" max="2" width="20.5703125" style="3" bestFit="1" customWidth="1"/>
    <col min="3" max="7" width="17.85546875" style="3" customWidth="1"/>
    <col min="8" max="8" width="17.140625" style="3" customWidth="1"/>
    <col min="9" max="9" width="4.28515625" style="3" customWidth="1"/>
    <col min="10" max="10" width="4" style="3" customWidth="1"/>
    <col min="11" max="11" width="20.5703125" style="3" bestFit="1" customWidth="1"/>
    <col min="12" max="16" width="17.85546875" style="3" customWidth="1"/>
    <col min="17" max="17" width="17.140625" style="3" customWidth="1"/>
    <col min="18" max="18" width="4.28515625" style="3" customWidth="1"/>
    <col min="19" max="19" width="4" style="3" customWidth="1"/>
    <col min="20" max="20" width="20.5703125" style="3" bestFit="1" customWidth="1"/>
    <col min="21" max="25" width="17.85546875" style="3" customWidth="1"/>
    <col min="26" max="26" width="17.140625" style="3" customWidth="1"/>
    <col min="27" max="27" width="4.28515625" style="3" customWidth="1"/>
    <col min="28" max="28" width="4" style="3" customWidth="1"/>
    <col min="29" max="29" width="20.5703125" style="3" bestFit="1" customWidth="1"/>
    <col min="30" max="34" width="17.85546875" style="3" customWidth="1"/>
    <col min="35" max="35" width="17.140625" style="3" customWidth="1"/>
    <col min="36" max="53" width="21" style="3" customWidth="1"/>
    <col min="54" max="54" width="22.7109375" style="3" bestFit="1" customWidth="1"/>
    <col min="55" max="71" width="21" style="3" customWidth="1"/>
    <col min="72" max="479" width="11.42578125" style="38"/>
    <col min="480" max="16036" width="11.42578125" style="3"/>
    <col min="16037" max="16384" width="11.42578125" style="38"/>
  </cols>
  <sheetData>
    <row r="1" spans="1:815 1097:5554 16037:16373" x14ac:dyDescent="0.2">
      <c r="A1" s="82" t="s">
        <v>194</v>
      </c>
      <c r="B1"/>
      <c r="C1"/>
      <c r="D1"/>
      <c r="E1"/>
      <c r="F1"/>
      <c r="G1"/>
      <c r="I1" s="97"/>
      <c r="J1" s="82" t="s">
        <v>194</v>
      </c>
      <c r="K1"/>
      <c r="L1"/>
      <c r="M1"/>
      <c r="N1"/>
      <c r="O1"/>
      <c r="P1"/>
      <c r="R1" s="97"/>
      <c r="S1" s="82" t="s">
        <v>194</v>
      </c>
      <c r="T1"/>
      <c r="U1"/>
      <c r="V1"/>
      <c r="W1"/>
      <c r="X1"/>
      <c r="Y1"/>
      <c r="AA1" s="97"/>
      <c r="AB1" s="82" t="s">
        <v>194</v>
      </c>
      <c r="AC1"/>
      <c r="AD1"/>
      <c r="AE1"/>
      <c r="AF1"/>
      <c r="AG1"/>
      <c r="AH1"/>
    </row>
    <row r="2" spans="1:815 1097:5554 16037:16373" x14ac:dyDescent="0.2">
      <c r="A2" t="s">
        <v>195</v>
      </c>
      <c r="B2"/>
      <c r="C2"/>
      <c r="D2"/>
      <c r="E2"/>
      <c r="F2"/>
      <c r="G2"/>
      <c r="I2" s="97"/>
      <c r="J2" t="s">
        <v>195</v>
      </c>
      <c r="K2"/>
      <c r="L2"/>
      <c r="M2"/>
      <c r="N2"/>
      <c r="O2"/>
      <c r="P2"/>
      <c r="R2" s="97"/>
      <c r="S2" t="s">
        <v>195</v>
      </c>
      <c r="T2"/>
      <c r="U2"/>
      <c r="V2"/>
      <c r="W2"/>
      <c r="X2"/>
      <c r="Y2"/>
      <c r="AA2" s="97"/>
      <c r="AB2" t="s">
        <v>195</v>
      </c>
      <c r="AC2"/>
      <c r="AD2"/>
      <c r="AE2"/>
      <c r="AF2"/>
      <c r="AG2"/>
      <c r="AH2"/>
    </row>
    <row r="3" spans="1:815 1097:5554 16037:16373" x14ac:dyDescent="0.2">
      <c r="A3"/>
      <c r="B3"/>
      <c r="C3"/>
      <c r="D3"/>
      <c r="E3"/>
      <c r="F3"/>
      <c r="G3"/>
      <c r="I3" s="97"/>
      <c r="J3"/>
      <c r="K3"/>
      <c r="L3"/>
      <c r="M3"/>
      <c r="N3"/>
      <c r="O3"/>
      <c r="P3"/>
      <c r="R3" s="97"/>
      <c r="S3"/>
      <c r="T3"/>
      <c r="U3"/>
      <c r="V3"/>
      <c r="W3"/>
      <c r="X3"/>
      <c r="Y3"/>
      <c r="AA3" s="97"/>
      <c r="AB3"/>
      <c r="AC3"/>
      <c r="AD3"/>
      <c r="AE3"/>
      <c r="AF3"/>
      <c r="AG3"/>
      <c r="AH3"/>
    </row>
    <row r="4" spans="1:815 1097:5554 16037:16373" x14ac:dyDescent="0.2">
      <c r="A4"/>
      <c r="B4"/>
      <c r="C4"/>
      <c r="D4"/>
      <c r="E4"/>
      <c r="F4"/>
      <c r="G4"/>
      <c r="I4" s="97"/>
      <c r="J4"/>
      <c r="K4"/>
      <c r="L4"/>
      <c r="M4"/>
      <c r="N4"/>
      <c r="O4"/>
      <c r="P4"/>
      <c r="R4" s="97"/>
      <c r="S4"/>
      <c r="T4"/>
      <c r="U4"/>
      <c r="V4"/>
      <c r="W4"/>
      <c r="X4"/>
      <c r="Y4"/>
      <c r="AA4" s="97"/>
      <c r="AB4"/>
      <c r="AC4"/>
      <c r="AD4"/>
      <c r="AE4"/>
      <c r="AF4"/>
      <c r="AG4"/>
      <c r="AH4"/>
    </row>
    <row r="5" spans="1:815 1097:5554 16037:16373" ht="26.25" x14ac:dyDescent="0.4">
      <c r="A5" s="18" t="s">
        <v>372</v>
      </c>
      <c r="I5" s="97"/>
      <c r="J5" s="18" t="s">
        <v>373</v>
      </c>
      <c r="R5" s="97"/>
      <c r="S5" s="18" t="s">
        <v>374</v>
      </c>
      <c r="AA5" s="97"/>
      <c r="AB5" s="18" t="s">
        <v>375</v>
      </c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  <c r="HDV5" s="38"/>
      <c r="HDW5" s="38"/>
      <c r="HDX5" s="38"/>
      <c r="HDY5" s="38"/>
      <c r="HDZ5" s="38"/>
      <c r="HEA5" s="38"/>
      <c r="HEB5" s="38"/>
      <c r="HEC5" s="38"/>
      <c r="HED5" s="38"/>
      <c r="HEE5" s="38"/>
      <c r="HEF5" s="38"/>
      <c r="HEG5" s="38"/>
      <c r="HEH5" s="38"/>
      <c r="HEI5" s="38"/>
      <c r="HEJ5" s="38"/>
      <c r="HEK5" s="38"/>
      <c r="HEL5" s="38"/>
      <c r="HEM5" s="38"/>
      <c r="HEN5" s="38"/>
      <c r="HEO5" s="38"/>
      <c r="HEP5" s="38"/>
    </row>
    <row r="6" spans="1:815 1097:5554 16037:16373" s="3" customFormat="1" x14ac:dyDescent="0.2">
      <c r="C6" s="5"/>
      <c r="D6" s="5"/>
      <c r="E6" s="5"/>
      <c r="F6" s="5"/>
      <c r="G6" s="5"/>
      <c r="H6" s="5"/>
      <c r="I6" s="98"/>
      <c r="L6" s="5"/>
      <c r="M6" s="5"/>
      <c r="N6" s="5"/>
      <c r="O6" s="5"/>
      <c r="P6" s="5"/>
      <c r="Q6" s="5"/>
      <c r="R6" s="98"/>
      <c r="U6" s="5"/>
      <c r="V6" s="5"/>
      <c r="W6" s="5"/>
      <c r="X6" s="5"/>
      <c r="Y6" s="5"/>
      <c r="Z6" s="5"/>
      <c r="AA6" s="98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WRU6" s="38"/>
      <c r="WRV6" s="38"/>
      <c r="WRW6" s="38"/>
      <c r="WRX6" s="38"/>
      <c r="WRY6" s="38"/>
      <c r="WRZ6" s="38"/>
      <c r="WSA6" s="38"/>
      <c r="WSB6" s="38"/>
      <c r="WSC6" s="38"/>
      <c r="WSD6" s="38"/>
      <c r="WSE6" s="38"/>
      <c r="WSF6" s="38"/>
      <c r="WSG6" s="38"/>
      <c r="WSH6" s="38"/>
      <c r="WSI6" s="38"/>
      <c r="WSJ6" s="38"/>
      <c r="WSK6" s="38"/>
      <c r="WSL6" s="38"/>
      <c r="WSM6" s="38"/>
      <c r="WSN6" s="38"/>
      <c r="WSO6" s="38"/>
      <c r="WSP6" s="38"/>
      <c r="WSQ6" s="38"/>
      <c r="WSR6" s="38"/>
      <c r="WSS6" s="38"/>
      <c r="WST6" s="38"/>
      <c r="WSU6" s="38"/>
      <c r="WSV6" s="38"/>
      <c r="WSW6" s="38"/>
      <c r="WSX6" s="38"/>
      <c r="WSY6" s="38"/>
      <c r="WSZ6" s="38"/>
      <c r="WTA6" s="38"/>
      <c r="WTB6" s="38"/>
      <c r="WTC6" s="38"/>
      <c r="WTD6" s="38"/>
      <c r="WTE6" s="38"/>
      <c r="WTF6" s="38"/>
      <c r="WTG6" s="38"/>
      <c r="WTH6" s="38"/>
      <c r="WTI6" s="38"/>
      <c r="WTJ6" s="38"/>
      <c r="WTK6" s="38"/>
      <c r="WTL6" s="38"/>
      <c r="WTM6" s="38"/>
      <c r="WTN6" s="38"/>
      <c r="WTO6" s="38"/>
      <c r="WTP6" s="38"/>
      <c r="WTQ6" s="38"/>
      <c r="WTR6" s="38"/>
      <c r="WTS6" s="38"/>
      <c r="WTT6" s="38"/>
      <c r="WTU6" s="38"/>
      <c r="WTV6" s="38"/>
      <c r="WTW6" s="38"/>
      <c r="WTX6" s="38"/>
      <c r="WTY6" s="38"/>
      <c r="WTZ6" s="38"/>
      <c r="WUA6" s="38"/>
      <c r="WUB6" s="38"/>
      <c r="WUC6" s="38"/>
      <c r="WUD6" s="38"/>
      <c r="WUE6" s="38"/>
      <c r="WUF6" s="38"/>
      <c r="WUG6" s="38"/>
      <c r="WUH6" s="38"/>
      <c r="WUI6" s="38"/>
      <c r="WUJ6" s="38"/>
      <c r="WUK6" s="38"/>
      <c r="WUL6" s="38"/>
      <c r="WUM6" s="38"/>
      <c r="WUN6" s="38"/>
      <c r="WUO6" s="38"/>
      <c r="WUP6" s="38"/>
      <c r="WUQ6" s="38"/>
      <c r="WUR6" s="38"/>
      <c r="WUS6" s="38"/>
      <c r="WUT6" s="38"/>
      <c r="WUU6" s="38"/>
      <c r="WUV6" s="38"/>
      <c r="WUW6" s="38"/>
      <c r="WUX6" s="38"/>
      <c r="WUY6" s="38"/>
      <c r="WUZ6" s="38"/>
      <c r="WVA6" s="38"/>
      <c r="WVB6" s="38"/>
      <c r="WVC6" s="38"/>
      <c r="WVD6" s="38"/>
      <c r="WVE6" s="38"/>
      <c r="WVF6" s="38"/>
      <c r="WVG6" s="38"/>
      <c r="WVH6" s="38"/>
      <c r="WVI6" s="38"/>
      <c r="WVJ6" s="38"/>
      <c r="WVK6" s="38"/>
      <c r="WVL6" s="38"/>
      <c r="WVM6" s="38"/>
      <c r="WVN6" s="38"/>
      <c r="WVO6" s="38"/>
      <c r="WVP6" s="38"/>
      <c r="WVQ6" s="38"/>
      <c r="WVR6" s="38"/>
      <c r="WVS6" s="38"/>
      <c r="WVT6" s="38"/>
      <c r="WVU6" s="38"/>
      <c r="WVV6" s="38"/>
      <c r="WVW6" s="38"/>
      <c r="WVX6" s="38"/>
      <c r="WVY6" s="38"/>
      <c r="WVZ6" s="38"/>
      <c r="WWA6" s="38"/>
      <c r="WWB6" s="38"/>
      <c r="WWC6" s="38"/>
      <c r="WWD6" s="38"/>
      <c r="WWE6" s="38"/>
      <c r="WWF6" s="38"/>
      <c r="WWG6" s="38"/>
      <c r="WWH6" s="38"/>
      <c r="WWI6" s="38"/>
      <c r="WWJ6" s="38"/>
      <c r="WWK6" s="38"/>
      <c r="WWL6" s="38"/>
      <c r="WWM6" s="38"/>
      <c r="WWN6" s="38"/>
      <c r="WWO6" s="38"/>
      <c r="WWP6" s="38"/>
      <c r="WWQ6" s="38"/>
      <c r="WWR6" s="38"/>
      <c r="WWS6" s="38"/>
      <c r="WWT6" s="38"/>
      <c r="WWU6" s="38"/>
      <c r="WWV6" s="38"/>
      <c r="WWW6" s="38"/>
      <c r="WWX6" s="38"/>
      <c r="WWY6" s="38"/>
      <c r="WWZ6" s="38"/>
      <c r="WXA6" s="38"/>
      <c r="WXB6" s="38"/>
      <c r="WXC6" s="38"/>
      <c r="WXD6" s="38"/>
      <c r="WXE6" s="38"/>
      <c r="WXF6" s="38"/>
      <c r="WXG6" s="38"/>
      <c r="WXH6" s="38"/>
      <c r="WXI6" s="38"/>
      <c r="WXJ6" s="38"/>
      <c r="WXK6" s="38"/>
      <c r="WXL6" s="38"/>
      <c r="WXM6" s="38"/>
      <c r="WXN6" s="38"/>
      <c r="WXO6" s="38"/>
      <c r="WXP6" s="38"/>
      <c r="WXQ6" s="38"/>
      <c r="WXR6" s="38"/>
      <c r="WXS6" s="38"/>
      <c r="WXT6" s="38"/>
      <c r="WXU6" s="38"/>
      <c r="WXV6" s="38"/>
      <c r="WXW6" s="38"/>
      <c r="WXX6" s="38"/>
      <c r="WXY6" s="38"/>
      <c r="WXZ6" s="38"/>
      <c r="WYA6" s="38"/>
      <c r="WYB6" s="38"/>
      <c r="WYC6" s="38"/>
      <c r="WYD6" s="38"/>
      <c r="WYE6" s="38"/>
      <c r="WYF6" s="38"/>
      <c r="WYG6" s="38"/>
      <c r="WYH6" s="38"/>
      <c r="WYI6" s="38"/>
      <c r="WYJ6" s="38"/>
      <c r="WYK6" s="38"/>
      <c r="WYL6" s="38"/>
      <c r="WYM6" s="38"/>
      <c r="WYN6" s="38"/>
      <c r="WYO6" s="38"/>
      <c r="WYP6" s="38"/>
      <c r="WYQ6" s="38"/>
      <c r="WYR6" s="38"/>
      <c r="WYS6" s="38"/>
      <c r="WYT6" s="38"/>
      <c r="WYU6" s="38"/>
      <c r="WYV6" s="38"/>
      <c r="WYW6" s="38"/>
      <c r="WYX6" s="38"/>
      <c r="WYY6" s="38"/>
      <c r="WYZ6" s="38"/>
      <c r="WZA6" s="38"/>
      <c r="WZB6" s="38"/>
      <c r="WZC6" s="38"/>
      <c r="WZD6" s="38"/>
      <c r="WZE6" s="38"/>
      <c r="WZF6" s="38"/>
      <c r="WZG6" s="38"/>
      <c r="WZH6" s="38"/>
      <c r="WZI6" s="38"/>
      <c r="WZJ6" s="38"/>
      <c r="WZK6" s="38"/>
      <c r="WZL6" s="38"/>
      <c r="WZM6" s="38"/>
      <c r="WZN6" s="38"/>
      <c r="WZO6" s="38"/>
      <c r="WZP6" s="38"/>
      <c r="WZQ6" s="38"/>
      <c r="WZR6" s="38"/>
      <c r="WZS6" s="38"/>
      <c r="WZT6" s="38"/>
      <c r="WZU6" s="38"/>
      <c r="WZV6" s="38"/>
      <c r="WZW6" s="38"/>
      <c r="WZX6" s="38"/>
      <c r="WZY6" s="38"/>
      <c r="WZZ6" s="38"/>
      <c r="XAA6" s="38"/>
      <c r="XAB6" s="38"/>
      <c r="XAC6" s="38"/>
      <c r="XAD6" s="38"/>
      <c r="XAE6" s="38"/>
      <c r="XAF6" s="38"/>
      <c r="XAG6" s="38"/>
      <c r="XAH6" s="38"/>
      <c r="XAI6" s="38"/>
      <c r="XAJ6" s="38"/>
      <c r="XAK6" s="38"/>
      <c r="XAL6" s="38"/>
      <c r="XAM6" s="38"/>
      <c r="XAN6" s="38"/>
      <c r="XAO6" s="38"/>
      <c r="XAP6" s="38"/>
      <c r="XAQ6" s="38"/>
      <c r="XAR6" s="38"/>
      <c r="XAS6" s="38"/>
      <c r="XAT6" s="38"/>
      <c r="XAU6" s="38"/>
      <c r="XAV6" s="38"/>
      <c r="XAW6" s="38"/>
      <c r="XAX6" s="38"/>
      <c r="XAY6" s="38"/>
      <c r="XAZ6" s="38"/>
      <c r="XBA6" s="38"/>
      <c r="XBB6" s="38"/>
      <c r="XBC6" s="38"/>
      <c r="XBD6" s="38"/>
      <c r="XBE6" s="38"/>
      <c r="XBF6" s="38"/>
      <c r="XBG6" s="38"/>
      <c r="XBH6" s="38"/>
      <c r="XBI6" s="38"/>
      <c r="XBJ6" s="38"/>
      <c r="XBK6" s="38"/>
      <c r="XBL6" s="38"/>
      <c r="XBM6" s="38"/>
      <c r="XBN6" s="38"/>
      <c r="XBO6" s="38"/>
      <c r="XBP6" s="38"/>
      <c r="XBQ6" s="38"/>
      <c r="XBR6" s="38"/>
      <c r="XBS6" s="38"/>
      <c r="XBT6" s="38"/>
      <c r="XBU6" s="38"/>
      <c r="XBV6" s="38"/>
      <c r="XBW6" s="38"/>
      <c r="XBX6" s="38"/>
      <c r="XBY6" s="38"/>
      <c r="XBZ6" s="38"/>
      <c r="XCA6" s="38"/>
      <c r="XCB6" s="38"/>
      <c r="XCC6" s="38"/>
      <c r="XCD6" s="38"/>
      <c r="XCE6" s="38"/>
      <c r="XCF6" s="38"/>
      <c r="XCG6" s="38"/>
      <c r="XCH6" s="38"/>
      <c r="XCI6" s="38"/>
      <c r="XCJ6" s="38"/>
      <c r="XCK6" s="38"/>
      <c r="XCL6" s="38"/>
      <c r="XCM6" s="38"/>
      <c r="XCN6" s="38"/>
      <c r="XCO6" s="38"/>
      <c r="XCP6" s="38"/>
      <c r="XCQ6" s="38"/>
      <c r="XCR6" s="38"/>
      <c r="XCS6" s="38"/>
      <c r="XCT6" s="38"/>
      <c r="XCU6" s="38"/>
      <c r="XCV6" s="38"/>
      <c r="XCW6" s="38"/>
      <c r="XCX6" s="38"/>
      <c r="XCY6" s="38"/>
      <c r="XCZ6" s="38"/>
      <c r="XDA6" s="38"/>
      <c r="XDB6" s="38"/>
      <c r="XDC6" s="38"/>
      <c r="XDD6" s="38"/>
      <c r="XDE6" s="38"/>
      <c r="XDF6" s="38"/>
      <c r="XDG6" s="38"/>
      <c r="XDH6" s="38"/>
      <c r="XDI6" s="38"/>
      <c r="XDJ6" s="38"/>
      <c r="XDK6" s="38"/>
      <c r="XDL6" s="38"/>
      <c r="XDM6" s="38"/>
      <c r="XDN6" s="38"/>
      <c r="XDO6" s="38"/>
      <c r="XDP6" s="38"/>
      <c r="XDQ6" s="38"/>
      <c r="XDR6" s="38"/>
      <c r="XDS6" s="38"/>
      <c r="XDT6" s="38"/>
      <c r="XDU6" s="38"/>
      <c r="XDV6" s="38"/>
      <c r="XDW6" s="38"/>
      <c r="XDX6" s="38"/>
      <c r="XDY6" s="38"/>
      <c r="XDZ6" s="38"/>
      <c r="XEA6" s="38"/>
      <c r="XEB6" s="38"/>
      <c r="XEC6" s="38"/>
      <c r="XED6" s="38"/>
      <c r="XEE6" s="38"/>
      <c r="XEF6" s="38"/>
      <c r="XEG6" s="38"/>
      <c r="XEH6" s="38"/>
      <c r="XEI6" s="38"/>
      <c r="XEJ6" s="38"/>
      <c r="XEK6" s="38"/>
      <c r="XEL6" s="38"/>
      <c r="XEM6" s="38"/>
      <c r="XEN6" s="38"/>
      <c r="XEO6" s="38"/>
      <c r="XEP6" s="38"/>
      <c r="XEQ6" s="38"/>
      <c r="XER6" s="38"/>
      <c r="XES6" s="38"/>
    </row>
    <row r="7" spans="1:815 1097:5554 16037:16373" s="3" customFormat="1" ht="38.25" customHeight="1" x14ac:dyDescent="0.2">
      <c r="A7" s="105" t="s">
        <v>211</v>
      </c>
      <c r="B7" s="113" t="s">
        <v>212</v>
      </c>
      <c r="C7" s="107" t="s">
        <v>206</v>
      </c>
      <c r="D7" s="108" t="s">
        <v>207</v>
      </c>
      <c r="E7" s="108" t="s">
        <v>209</v>
      </c>
      <c r="F7" s="107" t="s">
        <v>208</v>
      </c>
      <c r="G7" s="108" t="s">
        <v>210</v>
      </c>
      <c r="H7" s="108" t="s">
        <v>79</v>
      </c>
      <c r="I7" s="98"/>
      <c r="J7" s="105" t="s">
        <v>211</v>
      </c>
      <c r="K7" s="113" t="s">
        <v>212</v>
      </c>
      <c r="L7" s="107" t="s">
        <v>206</v>
      </c>
      <c r="M7" s="108" t="s">
        <v>207</v>
      </c>
      <c r="N7" s="108" t="s">
        <v>209</v>
      </c>
      <c r="O7" s="107" t="s">
        <v>208</v>
      </c>
      <c r="P7" s="108" t="s">
        <v>210</v>
      </c>
      <c r="Q7" s="108" t="s">
        <v>79</v>
      </c>
      <c r="R7" s="98"/>
      <c r="S7" s="105" t="s">
        <v>211</v>
      </c>
      <c r="T7" s="113" t="s">
        <v>212</v>
      </c>
      <c r="U7" s="107" t="s">
        <v>206</v>
      </c>
      <c r="V7" s="108" t="s">
        <v>207</v>
      </c>
      <c r="W7" s="108" t="s">
        <v>209</v>
      </c>
      <c r="X7" s="107" t="s">
        <v>208</v>
      </c>
      <c r="Y7" s="108" t="s">
        <v>210</v>
      </c>
      <c r="Z7" s="108" t="s">
        <v>79</v>
      </c>
      <c r="AA7" s="98"/>
      <c r="AB7" s="105" t="s">
        <v>211</v>
      </c>
      <c r="AC7" s="113" t="s">
        <v>212</v>
      </c>
      <c r="AD7" s="107" t="s">
        <v>206</v>
      </c>
      <c r="AE7" s="108" t="s">
        <v>207</v>
      </c>
      <c r="AF7" s="108" t="s">
        <v>209</v>
      </c>
      <c r="AG7" s="107" t="s">
        <v>208</v>
      </c>
      <c r="AH7" s="108" t="s">
        <v>210</v>
      </c>
      <c r="AI7" s="108" t="s">
        <v>79</v>
      </c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Q7" s="5"/>
      <c r="BR7" s="5"/>
      <c r="BS7" s="5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  <c r="IW7" s="38"/>
      <c r="IX7" s="38"/>
      <c r="IY7" s="38"/>
      <c r="IZ7" s="38"/>
      <c r="JA7" s="38"/>
      <c r="JB7" s="38"/>
      <c r="JC7" s="38"/>
      <c r="JD7" s="38"/>
      <c r="JE7" s="38"/>
      <c r="JF7" s="38"/>
      <c r="JG7" s="38"/>
      <c r="JH7" s="38"/>
      <c r="JI7" s="38"/>
      <c r="JJ7" s="38"/>
      <c r="JK7" s="38"/>
      <c r="JL7" s="38"/>
      <c r="JM7" s="38"/>
      <c r="JN7" s="38"/>
      <c r="JO7" s="38"/>
      <c r="JP7" s="38"/>
      <c r="JQ7" s="38"/>
      <c r="JR7" s="38"/>
      <c r="JS7" s="38"/>
      <c r="JT7" s="38"/>
      <c r="JU7" s="38"/>
      <c r="JV7" s="38"/>
      <c r="JW7" s="38"/>
      <c r="JX7" s="38"/>
      <c r="JY7" s="38"/>
      <c r="JZ7" s="38"/>
      <c r="KA7" s="38"/>
      <c r="KB7" s="38"/>
      <c r="KC7" s="38"/>
      <c r="KD7" s="38"/>
      <c r="KE7" s="38"/>
      <c r="KF7" s="38"/>
      <c r="KG7" s="38"/>
      <c r="KH7" s="38"/>
      <c r="KI7" s="38"/>
      <c r="KJ7" s="38"/>
      <c r="KK7" s="38"/>
      <c r="KL7" s="38"/>
      <c r="KM7" s="38"/>
      <c r="KN7" s="38"/>
      <c r="KO7" s="38"/>
      <c r="KP7" s="38"/>
      <c r="KQ7" s="38"/>
      <c r="KR7" s="38"/>
      <c r="KS7" s="38"/>
      <c r="KT7" s="38"/>
      <c r="KU7" s="38"/>
      <c r="KV7" s="38"/>
      <c r="KW7" s="38"/>
      <c r="KX7" s="38"/>
      <c r="KY7" s="38"/>
      <c r="KZ7" s="38"/>
      <c r="LA7" s="38"/>
      <c r="LB7" s="38"/>
      <c r="LC7" s="38"/>
      <c r="LD7" s="38"/>
      <c r="LE7" s="38"/>
      <c r="LF7" s="38"/>
      <c r="LG7" s="38"/>
      <c r="LH7" s="38"/>
      <c r="LI7" s="38"/>
      <c r="LJ7" s="38"/>
      <c r="LK7" s="38"/>
      <c r="LL7" s="38"/>
      <c r="LM7" s="38"/>
      <c r="LN7" s="38"/>
      <c r="LO7" s="38"/>
      <c r="LP7" s="38"/>
      <c r="LQ7" s="38"/>
      <c r="LR7" s="38"/>
      <c r="LS7" s="38"/>
      <c r="LT7" s="38"/>
      <c r="LU7" s="38"/>
      <c r="LV7" s="38"/>
      <c r="LW7" s="38"/>
      <c r="LX7" s="38"/>
      <c r="LY7" s="38"/>
      <c r="LZ7" s="38"/>
      <c r="MA7" s="38"/>
      <c r="MB7" s="38"/>
      <c r="MC7" s="38"/>
      <c r="MD7" s="38"/>
      <c r="ME7" s="38"/>
      <c r="MF7" s="38"/>
      <c r="MG7" s="38"/>
      <c r="MH7" s="38"/>
      <c r="MI7" s="38"/>
      <c r="MJ7" s="38"/>
      <c r="MK7" s="38"/>
      <c r="ML7" s="38"/>
      <c r="MM7" s="38"/>
      <c r="MN7" s="38"/>
      <c r="MO7" s="38"/>
      <c r="MP7" s="38"/>
      <c r="MQ7" s="38"/>
      <c r="MR7" s="38"/>
      <c r="MS7" s="38"/>
      <c r="MT7" s="38"/>
      <c r="MU7" s="38"/>
      <c r="MV7" s="38"/>
      <c r="MW7" s="38"/>
      <c r="MX7" s="38"/>
      <c r="MY7" s="38"/>
      <c r="MZ7" s="38"/>
      <c r="NA7" s="38"/>
      <c r="NB7" s="38"/>
      <c r="NC7" s="38"/>
      <c r="ND7" s="38"/>
      <c r="NE7" s="38"/>
      <c r="NF7" s="38"/>
      <c r="NG7" s="38"/>
      <c r="NH7" s="38"/>
      <c r="NI7" s="38"/>
      <c r="NJ7" s="38"/>
      <c r="NK7" s="38"/>
      <c r="NL7" s="38"/>
      <c r="NM7" s="38"/>
      <c r="NN7" s="38"/>
      <c r="NO7" s="38"/>
      <c r="NP7" s="38"/>
      <c r="NQ7" s="38"/>
      <c r="NR7" s="38"/>
      <c r="NS7" s="38"/>
      <c r="NT7" s="38"/>
      <c r="NU7" s="38"/>
      <c r="NV7" s="38"/>
      <c r="NW7" s="38"/>
      <c r="NX7" s="38"/>
      <c r="NY7" s="38"/>
      <c r="NZ7" s="38"/>
      <c r="OA7" s="38"/>
      <c r="OB7" s="38"/>
      <c r="OC7" s="38"/>
      <c r="OD7" s="38"/>
      <c r="OE7" s="38"/>
      <c r="OF7" s="38"/>
      <c r="OG7" s="38"/>
      <c r="OH7" s="38"/>
      <c r="OI7" s="38"/>
      <c r="OJ7" s="38"/>
      <c r="OK7" s="38"/>
      <c r="OL7" s="38"/>
      <c r="OM7" s="38"/>
      <c r="ON7" s="38"/>
      <c r="OO7" s="38"/>
      <c r="OP7" s="38"/>
      <c r="OQ7" s="38"/>
      <c r="OR7" s="38"/>
      <c r="OS7" s="38"/>
      <c r="OT7" s="38"/>
      <c r="OU7" s="38"/>
      <c r="OV7" s="38"/>
      <c r="OW7" s="38"/>
      <c r="OX7" s="38"/>
      <c r="OY7" s="38"/>
      <c r="OZ7" s="38"/>
      <c r="PA7" s="38"/>
      <c r="PB7" s="38"/>
      <c r="PC7" s="38"/>
      <c r="PD7" s="38"/>
      <c r="PE7" s="38"/>
      <c r="PF7" s="38"/>
      <c r="PG7" s="38"/>
      <c r="PH7" s="38"/>
      <c r="PI7" s="38"/>
      <c r="PJ7" s="38"/>
      <c r="PK7" s="38"/>
      <c r="PL7" s="38"/>
      <c r="PM7" s="38"/>
      <c r="PN7" s="38"/>
      <c r="PO7" s="38"/>
      <c r="PP7" s="38"/>
      <c r="PQ7" s="38"/>
      <c r="PR7" s="38"/>
      <c r="PS7" s="38"/>
      <c r="PT7" s="38"/>
      <c r="PU7" s="38"/>
      <c r="PV7" s="38"/>
      <c r="PW7" s="38"/>
      <c r="PX7" s="38"/>
      <c r="PY7" s="38"/>
      <c r="PZ7" s="38"/>
      <c r="QA7" s="38"/>
      <c r="QB7" s="38"/>
      <c r="QC7" s="38"/>
      <c r="QD7" s="38"/>
      <c r="QE7" s="38"/>
      <c r="QF7" s="38"/>
      <c r="QG7" s="38"/>
      <c r="QH7" s="38"/>
      <c r="QI7" s="38"/>
      <c r="QJ7" s="38"/>
      <c r="QK7" s="38"/>
      <c r="QL7" s="38"/>
      <c r="QM7" s="38"/>
      <c r="QN7" s="38"/>
      <c r="QO7" s="38"/>
      <c r="QP7" s="38"/>
      <c r="QQ7" s="38"/>
      <c r="QR7" s="38"/>
      <c r="QS7" s="38"/>
      <c r="QT7" s="38"/>
      <c r="QU7" s="38"/>
      <c r="QV7" s="38"/>
      <c r="QW7" s="38"/>
      <c r="QX7" s="38"/>
      <c r="QY7" s="38"/>
      <c r="QZ7" s="38"/>
      <c r="RA7" s="38"/>
      <c r="RB7" s="38"/>
      <c r="RC7" s="38"/>
      <c r="RD7" s="38"/>
      <c r="RE7" s="38"/>
      <c r="RF7" s="38"/>
      <c r="RG7" s="38"/>
      <c r="RH7" s="38"/>
      <c r="RI7" s="38"/>
      <c r="RJ7" s="38"/>
      <c r="RK7" s="38"/>
      <c r="WRU7" s="38"/>
      <c r="WRV7" s="38"/>
      <c r="WRW7" s="38"/>
      <c r="WRX7" s="38"/>
      <c r="WRY7" s="38"/>
      <c r="WRZ7" s="38"/>
      <c r="WSA7" s="38"/>
      <c r="WSB7" s="38"/>
      <c r="WSC7" s="38"/>
      <c r="WSD7" s="38"/>
      <c r="WSE7" s="38"/>
      <c r="WSF7" s="38"/>
      <c r="WSG7" s="38"/>
      <c r="WSH7" s="38"/>
      <c r="WSI7" s="38"/>
      <c r="WSJ7" s="38"/>
      <c r="WSK7" s="38"/>
      <c r="WSL7" s="38"/>
      <c r="WSM7" s="38"/>
      <c r="WSN7" s="38"/>
      <c r="WSO7" s="38"/>
      <c r="WSP7" s="38"/>
      <c r="WSQ7" s="38"/>
      <c r="WSR7" s="38"/>
      <c r="WSS7" s="38"/>
      <c r="WST7" s="38"/>
      <c r="WSU7" s="38"/>
      <c r="WSV7" s="38"/>
      <c r="WSW7" s="38"/>
      <c r="WSX7" s="38"/>
      <c r="WSY7" s="38"/>
      <c r="WSZ7" s="38"/>
      <c r="WTA7" s="38"/>
      <c r="WTB7" s="38"/>
      <c r="WTC7" s="38"/>
      <c r="WTD7" s="38"/>
      <c r="WTE7" s="38"/>
      <c r="WTF7" s="38"/>
      <c r="WTG7" s="38"/>
      <c r="WTH7" s="38"/>
      <c r="WTI7" s="38"/>
      <c r="WTJ7" s="38"/>
      <c r="WTK7" s="38"/>
      <c r="WTL7" s="38"/>
      <c r="WTM7" s="38"/>
      <c r="WTN7" s="38"/>
      <c r="WTO7" s="38"/>
      <c r="WTP7" s="38"/>
      <c r="WTQ7" s="38"/>
      <c r="WTR7" s="38"/>
      <c r="WTS7" s="38"/>
      <c r="WTT7" s="38"/>
      <c r="WTU7" s="38"/>
      <c r="WTV7" s="38"/>
      <c r="WTW7" s="38"/>
      <c r="WTX7" s="38"/>
      <c r="WTY7" s="38"/>
      <c r="WTZ7" s="38"/>
      <c r="WUA7" s="38"/>
      <c r="WUB7" s="38"/>
      <c r="WUC7" s="38"/>
      <c r="WUD7" s="38"/>
      <c r="WUE7" s="38"/>
      <c r="WUF7" s="38"/>
      <c r="WUG7" s="38"/>
      <c r="WUH7" s="38"/>
      <c r="WUI7" s="38"/>
      <c r="WUJ7" s="38"/>
      <c r="WUK7" s="38"/>
      <c r="WUL7" s="38"/>
      <c r="WUM7" s="38"/>
      <c r="WUN7" s="38"/>
      <c r="WUO7" s="38"/>
      <c r="WUP7" s="38"/>
      <c r="WUQ7" s="38"/>
      <c r="WUR7" s="38"/>
      <c r="WUS7" s="38"/>
      <c r="WUT7" s="38"/>
      <c r="WUU7" s="38"/>
      <c r="WUV7" s="38"/>
      <c r="WUW7" s="38"/>
      <c r="WUX7" s="38"/>
      <c r="WUY7" s="38"/>
      <c r="WUZ7" s="38"/>
      <c r="WVA7" s="38"/>
      <c r="WVB7" s="38"/>
      <c r="WVC7" s="38"/>
      <c r="WVD7" s="38"/>
      <c r="WVE7" s="38"/>
      <c r="WVF7" s="38"/>
      <c r="WVG7" s="38"/>
      <c r="WVH7" s="38"/>
      <c r="WVI7" s="38"/>
      <c r="WVJ7" s="38"/>
      <c r="WVK7" s="38"/>
      <c r="WVL7" s="38"/>
      <c r="WVM7" s="38"/>
      <c r="WVN7" s="38"/>
      <c r="WVO7" s="38"/>
      <c r="WVP7" s="38"/>
      <c r="WVQ7" s="38"/>
      <c r="WVR7" s="38"/>
      <c r="WVS7" s="38"/>
      <c r="WVT7" s="38"/>
      <c r="WVU7" s="38"/>
      <c r="WVV7" s="38"/>
      <c r="WVW7" s="38"/>
      <c r="WVX7" s="38"/>
      <c r="WVY7" s="38"/>
      <c r="WVZ7" s="38"/>
      <c r="WWA7" s="38"/>
      <c r="WWB7" s="38"/>
      <c r="WWC7" s="38"/>
      <c r="WWD7" s="38"/>
      <c r="WWE7" s="38"/>
      <c r="WWF7" s="38"/>
      <c r="WWG7" s="38"/>
      <c r="WWH7" s="38"/>
      <c r="WWI7" s="38"/>
      <c r="WWJ7" s="38"/>
      <c r="WWK7" s="38"/>
      <c r="WWL7" s="38"/>
      <c r="WWM7" s="38"/>
      <c r="WWN7" s="38"/>
      <c r="WWO7" s="38"/>
      <c r="WWP7" s="38"/>
      <c r="WWQ7" s="38"/>
      <c r="WWR7" s="38"/>
      <c r="WWS7" s="38"/>
      <c r="WWT7" s="38"/>
      <c r="WWU7" s="38"/>
      <c r="WWV7" s="38"/>
      <c r="WWW7" s="38"/>
      <c r="WWX7" s="38"/>
      <c r="WWY7" s="38"/>
      <c r="WWZ7" s="38"/>
      <c r="WXA7" s="38"/>
      <c r="WXB7" s="38"/>
      <c r="WXC7" s="38"/>
      <c r="WXD7" s="38"/>
      <c r="WXE7" s="38"/>
      <c r="WXF7" s="38"/>
      <c r="WXG7" s="38"/>
      <c r="WXH7" s="38"/>
      <c r="WXI7" s="38"/>
      <c r="WXJ7" s="38"/>
      <c r="WXK7" s="38"/>
      <c r="WXL7" s="38"/>
      <c r="WXM7" s="38"/>
      <c r="WXN7" s="38"/>
      <c r="WXO7" s="38"/>
      <c r="WXP7" s="38"/>
      <c r="WXQ7" s="38"/>
      <c r="WXR7" s="38"/>
      <c r="WXS7" s="38"/>
      <c r="WXT7" s="38"/>
      <c r="WXU7" s="38"/>
      <c r="WXV7" s="38"/>
      <c r="WXW7" s="38"/>
      <c r="WXX7" s="38"/>
      <c r="WXY7" s="38"/>
      <c r="WXZ7" s="38"/>
      <c r="WYA7" s="38"/>
      <c r="WYB7" s="38"/>
      <c r="WYC7" s="38"/>
      <c r="WYD7" s="38"/>
      <c r="WYE7" s="38"/>
      <c r="WYF7" s="38"/>
      <c r="WYG7" s="38"/>
      <c r="WYH7" s="38"/>
      <c r="WYI7" s="38"/>
      <c r="WYJ7" s="38"/>
      <c r="WYK7" s="38"/>
      <c r="WYL7" s="38"/>
      <c r="WYM7" s="38"/>
      <c r="WYN7" s="38"/>
      <c r="WYO7" s="38"/>
      <c r="WYP7" s="38"/>
      <c r="WYQ7" s="38"/>
      <c r="WYR7" s="38"/>
      <c r="WYS7" s="38"/>
      <c r="WYT7" s="38"/>
      <c r="WYU7" s="38"/>
      <c r="WYV7" s="38"/>
      <c r="WYW7" s="38"/>
      <c r="WYX7" s="38"/>
      <c r="WYY7" s="38"/>
      <c r="WYZ7" s="38"/>
      <c r="WZA7" s="38"/>
      <c r="WZB7" s="38"/>
      <c r="WZC7" s="38"/>
      <c r="WZD7" s="38"/>
      <c r="WZE7" s="38"/>
      <c r="WZF7" s="38"/>
      <c r="WZG7" s="38"/>
      <c r="WZH7" s="38"/>
      <c r="WZI7" s="38"/>
      <c r="WZJ7" s="38"/>
      <c r="WZK7" s="38"/>
      <c r="WZL7" s="38"/>
      <c r="WZM7" s="38"/>
      <c r="WZN7" s="38"/>
      <c r="WZO7" s="38"/>
      <c r="WZP7" s="38"/>
      <c r="WZQ7" s="38"/>
      <c r="WZR7" s="38"/>
      <c r="WZS7" s="38"/>
      <c r="WZT7" s="38"/>
      <c r="WZU7" s="38"/>
      <c r="WZV7" s="38"/>
      <c r="WZW7" s="38"/>
      <c r="WZX7" s="38"/>
      <c r="WZY7" s="38"/>
      <c r="WZZ7" s="38"/>
      <c r="XAA7" s="38"/>
      <c r="XAB7" s="38"/>
      <c r="XAC7" s="38"/>
      <c r="XAD7" s="38"/>
      <c r="XAE7" s="38"/>
      <c r="XAF7" s="38"/>
      <c r="XAG7" s="38"/>
      <c r="XAH7" s="38"/>
      <c r="XAI7" s="38"/>
      <c r="XAJ7" s="38"/>
      <c r="XAK7" s="38"/>
      <c r="XAL7" s="38"/>
      <c r="XAM7" s="38"/>
      <c r="XAN7" s="38"/>
      <c r="XAO7" s="38"/>
      <c r="XAP7" s="38"/>
      <c r="XAQ7" s="38"/>
      <c r="XAR7" s="38"/>
      <c r="XAS7" s="38"/>
      <c r="XAT7" s="38"/>
      <c r="XAU7" s="38"/>
      <c r="XAV7" s="38"/>
      <c r="XAW7" s="38"/>
      <c r="XAX7" s="38"/>
      <c r="XAY7" s="38"/>
      <c r="XAZ7" s="38"/>
      <c r="XBA7" s="38"/>
      <c r="XBB7" s="38"/>
      <c r="XBC7" s="38"/>
      <c r="XBD7" s="38"/>
      <c r="XBE7" s="38"/>
      <c r="XBF7" s="38"/>
      <c r="XBG7" s="38"/>
      <c r="XBH7" s="38"/>
      <c r="XBI7" s="38"/>
      <c r="XBJ7" s="38"/>
      <c r="XBK7" s="38"/>
      <c r="XBL7" s="38"/>
      <c r="XBM7" s="38"/>
      <c r="XBN7" s="38"/>
      <c r="XBO7" s="38"/>
      <c r="XBP7" s="38"/>
      <c r="XBQ7" s="38"/>
      <c r="XBR7" s="38"/>
      <c r="XBS7" s="38"/>
      <c r="XBT7" s="38"/>
      <c r="XBU7" s="38"/>
      <c r="XBV7" s="38"/>
      <c r="XBW7" s="38"/>
      <c r="XBX7" s="38"/>
      <c r="XBY7" s="38"/>
      <c r="XBZ7" s="38"/>
      <c r="XCA7" s="38"/>
      <c r="XCB7" s="38"/>
      <c r="XCC7" s="38"/>
      <c r="XCD7" s="38"/>
      <c r="XCE7" s="38"/>
      <c r="XCF7" s="38"/>
      <c r="XCG7" s="38"/>
      <c r="XCH7" s="38"/>
      <c r="XCI7" s="38"/>
      <c r="XCJ7" s="38"/>
      <c r="XCK7" s="38"/>
      <c r="XCL7" s="38"/>
      <c r="XCM7" s="38"/>
      <c r="XCN7" s="38"/>
      <c r="XCO7" s="38"/>
      <c r="XCP7" s="38"/>
      <c r="XCQ7" s="38"/>
      <c r="XCR7" s="38"/>
      <c r="XCS7" s="38"/>
      <c r="XCT7" s="38"/>
      <c r="XCU7" s="38"/>
      <c r="XCV7" s="38"/>
      <c r="XCW7" s="38"/>
      <c r="XCX7" s="38"/>
      <c r="XCY7" s="38"/>
      <c r="XCZ7" s="38"/>
      <c r="XDA7" s="38"/>
      <c r="XDB7" s="38"/>
      <c r="XDC7" s="38"/>
      <c r="XDD7" s="38"/>
      <c r="XDE7" s="38"/>
      <c r="XDF7" s="38"/>
      <c r="XDG7" s="38"/>
      <c r="XDH7" s="38"/>
      <c r="XDI7" s="38"/>
      <c r="XDJ7" s="38"/>
      <c r="XDK7" s="38"/>
      <c r="XDL7" s="38"/>
      <c r="XDM7" s="38"/>
      <c r="XDN7" s="38"/>
      <c r="XDO7" s="38"/>
      <c r="XDP7" s="38"/>
      <c r="XDQ7" s="38"/>
      <c r="XDR7" s="38"/>
      <c r="XDS7" s="38"/>
      <c r="XDT7" s="38"/>
      <c r="XDU7" s="38"/>
      <c r="XDV7" s="38"/>
      <c r="XDW7" s="38"/>
      <c r="XDX7" s="38"/>
      <c r="XDY7" s="38"/>
      <c r="XDZ7" s="38"/>
      <c r="XEA7" s="38"/>
      <c r="XEB7" s="38"/>
      <c r="XEC7" s="38"/>
      <c r="XED7" s="38"/>
      <c r="XEE7" s="38"/>
      <c r="XEF7" s="38"/>
      <c r="XEG7" s="38"/>
      <c r="XEH7" s="38"/>
      <c r="XEI7" s="38"/>
      <c r="XEJ7" s="38"/>
      <c r="XEK7" s="38"/>
      <c r="XEL7" s="38"/>
      <c r="XEM7" s="38"/>
      <c r="XEN7" s="38"/>
      <c r="XEO7" s="38"/>
      <c r="XEP7" s="38"/>
      <c r="XEQ7" s="38"/>
      <c r="XER7" s="38"/>
      <c r="XES7" s="38"/>
    </row>
    <row r="8" spans="1:815 1097:5554 16037:16373" s="3" customFormat="1" x14ac:dyDescent="0.2">
      <c r="A8" s="95">
        <v>1</v>
      </c>
      <c r="B8" s="123" t="s">
        <v>5</v>
      </c>
      <c r="C8" s="122">
        <f>ROUND(Total!C8/4,-2)</f>
        <v>0</v>
      </c>
      <c r="D8" s="127">
        <f>ROUND(Total!D8/4,-2)</f>
        <v>0</v>
      </c>
      <c r="E8" s="127">
        <f>ROUND(Total!E8/4,-2)</f>
        <v>0</v>
      </c>
      <c r="F8" s="122">
        <f>ROUND(Total!F8/4,-2)</f>
        <v>4289100</v>
      </c>
      <c r="G8" s="127">
        <f>ROUND(Total!G8/4,-2)</f>
        <v>4204500</v>
      </c>
      <c r="H8" s="128">
        <f t="shared" ref="H8:H39" si="0">SUM(C8:G8)</f>
        <v>8493600</v>
      </c>
      <c r="I8" s="98"/>
      <c r="J8" s="95">
        <v>1</v>
      </c>
      <c r="K8" s="123" t="s">
        <v>5</v>
      </c>
      <c r="L8" s="122">
        <f>ROUND(Total!C8/4,-2)</f>
        <v>0</v>
      </c>
      <c r="M8" s="127">
        <f>ROUND(Total!D8/4,-2)</f>
        <v>0</v>
      </c>
      <c r="N8" s="127">
        <f>ROUND(Total!E8/4,-2)</f>
        <v>0</v>
      </c>
      <c r="O8" s="122">
        <f>ROUND(Total!F8/4,-2)</f>
        <v>4289100</v>
      </c>
      <c r="P8" s="127">
        <f>ROUND(Total!G8/4,-2)</f>
        <v>4204500</v>
      </c>
      <c r="Q8" s="128">
        <f t="shared" ref="Q8:Q39" si="1">SUM(L8:P8)</f>
        <v>8493600</v>
      </c>
      <c r="R8" s="98"/>
      <c r="S8" s="95">
        <v>1</v>
      </c>
      <c r="T8" s="123" t="s">
        <v>5</v>
      </c>
      <c r="U8" s="122">
        <f>ROUND(Total!C8/4,-2)</f>
        <v>0</v>
      </c>
      <c r="V8" s="127">
        <f>ROUND(Total!D8/4,-2)</f>
        <v>0</v>
      </c>
      <c r="W8" s="127">
        <f>ROUND(Total!E8/4,-2)</f>
        <v>0</v>
      </c>
      <c r="X8" s="122">
        <f>ROUND(Total!F8/4,-2)</f>
        <v>4289100</v>
      </c>
      <c r="Y8" s="127">
        <f>ROUND(Total!G8/4,-2)</f>
        <v>4204500</v>
      </c>
      <c r="Z8" s="128">
        <f t="shared" ref="Z8:Z39" si="2">SUM(U8:Y8)</f>
        <v>8493600</v>
      </c>
      <c r="AA8" s="98"/>
      <c r="AB8" s="95">
        <v>1</v>
      </c>
      <c r="AC8" s="123" t="s">
        <v>5</v>
      </c>
      <c r="AD8" s="122">
        <f>Total!C8-Auszahlungen!C8-Auszahlungen!L8-Auszahlungen!U8</f>
        <v>0</v>
      </c>
      <c r="AE8" s="127">
        <f>Total!D8-Auszahlungen!D8-Auszahlungen!M8-Auszahlungen!V8</f>
        <v>0</v>
      </c>
      <c r="AF8" s="127">
        <f>Total!E8-Auszahlungen!E8-Auszahlungen!N8-Auszahlungen!W8</f>
        <v>0</v>
      </c>
      <c r="AG8" s="122">
        <f>Total!F8-Auszahlungen!F8-Auszahlungen!O8-Auszahlungen!X8</f>
        <v>4289100</v>
      </c>
      <c r="AH8" s="127">
        <f>Total!G8-Auszahlungen!G8-Auszahlungen!P8-Auszahlungen!Y8</f>
        <v>4204600</v>
      </c>
      <c r="AI8" s="128">
        <f t="shared" ref="AI8:AI39" si="3">SUM(AD8:AH8)</f>
        <v>8493700</v>
      </c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  <c r="IW8" s="38"/>
      <c r="IX8" s="38"/>
      <c r="IY8" s="38"/>
      <c r="IZ8" s="38"/>
      <c r="JA8" s="38"/>
      <c r="JB8" s="38"/>
      <c r="JC8" s="38"/>
      <c r="JD8" s="38"/>
      <c r="JE8" s="38"/>
      <c r="JF8" s="38"/>
      <c r="JG8" s="38"/>
      <c r="JH8" s="38"/>
      <c r="JI8" s="38"/>
      <c r="JJ8" s="38"/>
      <c r="JK8" s="38"/>
      <c r="JL8" s="38"/>
      <c r="JM8" s="38"/>
      <c r="JN8" s="38"/>
      <c r="JO8" s="38"/>
      <c r="JP8" s="38"/>
      <c r="JQ8" s="38"/>
      <c r="JR8" s="38"/>
      <c r="JS8" s="38"/>
      <c r="JT8" s="38"/>
      <c r="JU8" s="38"/>
      <c r="JV8" s="38"/>
      <c r="JW8" s="38"/>
      <c r="JX8" s="38"/>
      <c r="JY8" s="38"/>
      <c r="JZ8" s="38"/>
      <c r="KA8" s="38"/>
      <c r="KB8" s="38"/>
      <c r="KC8" s="38"/>
      <c r="KD8" s="38"/>
      <c r="KE8" s="38"/>
      <c r="KF8" s="38"/>
      <c r="KG8" s="38"/>
      <c r="KH8" s="38"/>
      <c r="KI8" s="38"/>
      <c r="KJ8" s="38"/>
      <c r="KK8" s="38"/>
      <c r="KL8" s="38"/>
      <c r="KM8" s="38"/>
      <c r="KN8" s="38"/>
      <c r="KO8" s="38"/>
      <c r="KP8" s="38"/>
      <c r="KQ8" s="38"/>
      <c r="KR8" s="38"/>
      <c r="KS8" s="38"/>
      <c r="KT8" s="38"/>
      <c r="KU8" s="38"/>
      <c r="KV8" s="38"/>
      <c r="KW8" s="38"/>
      <c r="KX8" s="38"/>
      <c r="KY8" s="38"/>
      <c r="KZ8" s="38"/>
      <c r="LA8" s="38"/>
      <c r="LB8" s="38"/>
      <c r="LC8" s="38"/>
      <c r="LD8" s="38"/>
      <c r="LE8" s="38"/>
      <c r="LF8" s="38"/>
      <c r="LG8" s="38"/>
      <c r="LH8" s="38"/>
      <c r="LI8" s="38"/>
      <c r="LJ8" s="38"/>
      <c r="LK8" s="38"/>
      <c r="LL8" s="38"/>
      <c r="LM8" s="38"/>
      <c r="LN8" s="38"/>
      <c r="LO8" s="38"/>
      <c r="LP8" s="38"/>
      <c r="LQ8" s="38"/>
      <c r="LR8" s="38"/>
      <c r="LS8" s="38"/>
      <c r="LT8" s="38"/>
      <c r="LU8" s="38"/>
      <c r="LV8" s="38"/>
      <c r="LW8" s="38"/>
      <c r="LX8" s="38"/>
      <c r="LY8" s="38"/>
      <c r="LZ8" s="38"/>
      <c r="MA8" s="38"/>
      <c r="MB8" s="38"/>
      <c r="MC8" s="38"/>
      <c r="MD8" s="38"/>
      <c r="ME8" s="38"/>
      <c r="MF8" s="38"/>
      <c r="MG8" s="38"/>
      <c r="MH8" s="38"/>
      <c r="MI8" s="38"/>
      <c r="MJ8" s="38"/>
      <c r="MK8" s="38"/>
      <c r="ML8" s="38"/>
      <c r="MM8" s="38"/>
      <c r="MN8" s="38"/>
      <c r="MO8" s="38"/>
      <c r="MP8" s="38"/>
      <c r="MQ8" s="38"/>
      <c r="MR8" s="38"/>
      <c r="MS8" s="38"/>
      <c r="MT8" s="38"/>
      <c r="MU8" s="38"/>
      <c r="MV8" s="38"/>
      <c r="MW8" s="38"/>
      <c r="MX8" s="38"/>
      <c r="MY8" s="38"/>
      <c r="MZ8" s="38"/>
      <c r="NA8" s="38"/>
      <c r="NB8" s="38"/>
      <c r="NC8" s="38"/>
      <c r="ND8" s="38"/>
      <c r="NE8" s="38"/>
      <c r="NF8" s="38"/>
      <c r="NG8" s="38"/>
      <c r="NH8" s="38"/>
      <c r="NI8" s="38"/>
      <c r="NJ8" s="38"/>
      <c r="NK8" s="38"/>
      <c r="NL8" s="38"/>
      <c r="NM8" s="38"/>
      <c r="NN8" s="38"/>
      <c r="NO8" s="38"/>
      <c r="NP8" s="38"/>
      <c r="NQ8" s="38"/>
      <c r="NR8" s="38"/>
      <c r="NS8" s="38"/>
      <c r="NT8" s="38"/>
      <c r="NU8" s="38"/>
      <c r="NV8" s="38"/>
      <c r="NW8" s="38"/>
      <c r="NX8" s="38"/>
      <c r="NY8" s="38"/>
      <c r="NZ8" s="38"/>
      <c r="OA8" s="38"/>
      <c r="OB8" s="38"/>
      <c r="OC8" s="38"/>
      <c r="OD8" s="38"/>
      <c r="OE8" s="38"/>
      <c r="OF8" s="38"/>
      <c r="OG8" s="38"/>
      <c r="OH8" s="38"/>
      <c r="OI8" s="38"/>
      <c r="OJ8" s="38"/>
      <c r="OK8" s="38"/>
      <c r="OL8" s="38"/>
      <c r="OM8" s="38"/>
      <c r="ON8" s="38"/>
      <c r="OO8" s="38"/>
      <c r="OP8" s="38"/>
      <c r="OQ8" s="38"/>
      <c r="OR8" s="38"/>
      <c r="OS8" s="38"/>
      <c r="OT8" s="38"/>
      <c r="OU8" s="38"/>
      <c r="OV8" s="38"/>
      <c r="OW8" s="38"/>
      <c r="OX8" s="38"/>
      <c r="OY8" s="38"/>
      <c r="OZ8" s="38"/>
      <c r="PA8" s="38"/>
      <c r="PB8" s="38"/>
      <c r="PC8" s="38"/>
      <c r="PD8" s="38"/>
      <c r="PE8" s="38"/>
      <c r="PF8" s="38"/>
      <c r="PG8" s="38"/>
      <c r="PH8" s="38"/>
      <c r="PI8" s="38"/>
      <c r="PJ8" s="38"/>
      <c r="PK8" s="38"/>
      <c r="PL8" s="38"/>
      <c r="PM8" s="38"/>
      <c r="PN8" s="38"/>
      <c r="PO8" s="38"/>
      <c r="PP8" s="38"/>
      <c r="PQ8" s="38"/>
      <c r="PR8" s="38"/>
      <c r="PS8" s="38"/>
      <c r="PT8" s="38"/>
      <c r="PU8" s="38"/>
      <c r="PV8" s="38"/>
      <c r="PW8" s="38"/>
      <c r="PX8" s="38"/>
      <c r="PY8" s="38"/>
      <c r="PZ8" s="38"/>
      <c r="QA8" s="38"/>
      <c r="QB8" s="38"/>
      <c r="QC8" s="38"/>
      <c r="QD8" s="38"/>
      <c r="QE8" s="38"/>
      <c r="QF8" s="38"/>
      <c r="QG8" s="38"/>
      <c r="QH8" s="38"/>
      <c r="QI8" s="38"/>
      <c r="QJ8" s="38"/>
      <c r="QK8" s="38"/>
      <c r="QL8" s="38"/>
      <c r="QM8" s="38"/>
      <c r="QN8" s="38"/>
      <c r="QO8" s="38"/>
      <c r="QP8" s="38"/>
      <c r="QQ8" s="38"/>
      <c r="QR8" s="38"/>
      <c r="QS8" s="38"/>
      <c r="QT8" s="38"/>
      <c r="QU8" s="38"/>
      <c r="QV8" s="38"/>
      <c r="QW8" s="38"/>
      <c r="QX8" s="38"/>
      <c r="QY8" s="38"/>
      <c r="QZ8" s="38"/>
      <c r="RA8" s="38"/>
      <c r="RB8" s="38"/>
      <c r="RC8" s="38"/>
      <c r="RD8" s="38"/>
      <c r="RE8" s="38"/>
      <c r="RF8" s="38"/>
      <c r="RG8" s="38"/>
      <c r="RH8" s="38"/>
      <c r="RI8" s="38"/>
      <c r="RJ8" s="38"/>
      <c r="RK8" s="38"/>
      <c r="WRU8" s="38"/>
      <c r="WRV8" s="38"/>
      <c r="WRW8" s="38"/>
      <c r="WRX8" s="38"/>
      <c r="WRY8" s="38"/>
      <c r="WRZ8" s="38"/>
      <c r="WSA8" s="38"/>
      <c r="WSB8" s="38"/>
      <c r="WSC8" s="38"/>
      <c r="WSD8" s="38"/>
      <c r="WSE8" s="38"/>
      <c r="WSF8" s="38"/>
      <c r="WSG8" s="38"/>
      <c r="WSH8" s="38"/>
      <c r="WSI8" s="38"/>
      <c r="WSJ8" s="38"/>
      <c r="WSK8" s="38"/>
      <c r="WSL8" s="38"/>
      <c r="WSM8" s="38"/>
      <c r="WSN8" s="38"/>
      <c r="WSO8" s="38"/>
      <c r="WSP8" s="38"/>
      <c r="WSQ8" s="38"/>
      <c r="WSR8" s="38"/>
      <c r="WSS8" s="38"/>
      <c r="WST8" s="38"/>
      <c r="WSU8" s="38"/>
      <c r="WSV8" s="38"/>
      <c r="WSW8" s="38"/>
      <c r="WSX8" s="38"/>
      <c r="WSY8" s="38"/>
      <c r="WSZ8" s="38"/>
      <c r="WTA8" s="38"/>
      <c r="WTB8" s="38"/>
      <c r="WTC8" s="38"/>
      <c r="WTD8" s="38"/>
      <c r="WTE8" s="38"/>
      <c r="WTF8" s="38"/>
      <c r="WTG8" s="38"/>
      <c r="WTH8" s="38"/>
      <c r="WTI8" s="38"/>
      <c r="WTJ8" s="38"/>
      <c r="WTK8" s="38"/>
      <c r="WTL8" s="38"/>
      <c r="WTM8" s="38"/>
      <c r="WTN8" s="38"/>
      <c r="WTO8" s="38"/>
      <c r="WTP8" s="38"/>
      <c r="WTQ8" s="38"/>
      <c r="WTR8" s="38"/>
      <c r="WTS8" s="38"/>
      <c r="WTT8" s="38"/>
      <c r="WTU8" s="38"/>
      <c r="WTV8" s="38"/>
      <c r="WTW8" s="38"/>
      <c r="WTX8" s="38"/>
      <c r="WTY8" s="38"/>
      <c r="WTZ8" s="38"/>
      <c r="WUA8" s="38"/>
      <c r="WUB8" s="38"/>
      <c r="WUC8" s="38"/>
      <c r="WUD8" s="38"/>
      <c r="WUE8" s="38"/>
      <c r="WUF8" s="38"/>
      <c r="WUG8" s="38"/>
      <c r="WUH8" s="38"/>
      <c r="WUI8" s="38"/>
      <c r="WUJ8" s="38"/>
      <c r="WUK8" s="38"/>
      <c r="WUL8" s="38"/>
      <c r="WUM8" s="38"/>
      <c r="WUN8" s="38"/>
      <c r="WUO8" s="38"/>
      <c r="WUP8" s="38"/>
      <c r="WUQ8" s="38"/>
      <c r="WUR8" s="38"/>
      <c r="WUS8" s="38"/>
      <c r="WUT8" s="38"/>
      <c r="WUU8" s="38"/>
      <c r="WUV8" s="38"/>
      <c r="WUW8" s="38"/>
      <c r="WUX8" s="38"/>
      <c r="WUY8" s="38"/>
      <c r="WUZ8" s="38"/>
      <c r="WVA8" s="38"/>
      <c r="WVB8" s="38"/>
      <c r="WVC8" s="38"/>
      <c r="WVD8" s="38"/>
      <c r="WVE8" s="38"/>
      <c r="WVF8" s="38"/>
      <c r="WVG8" s="38"/>
      <c r="WVH8" s="38"/>
      <c r="WVI8" s="38"/>
      <c r="WVJ8" s="38"/>
      <c r="WVK8" s="38"/>
      <c r="WVL8" s="38"/>
      <c r="WVM8" s="38"/>
      <c r="WVN8" s="38"/>
      <c r="WVO8" s="38"/>
      <c r="WVP8" s="38"/>
      <c r="WVQ8" s="38"/>
      <c r="WVR8" s="38"/>
      <c r="WVS8" s="38"/>
      <c r="WVT8" s="38"/>
      <c r="WVU8" s="38"/>
      <c r="WVV8" s="38"/>
      <c r="WVW8" s="38"/>
      <c r="WVX8" s="38"/>
      <c r="WVY8" s="38"/>
      <c r="WVZ8" s="38"/>
      <c r="WWA8" s="38"/>
      <c r="WWB8" s="38"/>
      <c r="WWC8" s="38"/>
      <c r="WWD8" s="38"/>
      <c r="WWE8" s="38"/>
      <c r="WWF8" s="38"/>
      <c r="WWG8" s="38"/>
      <c r="WWH8" s="38"/>
      <c r="WWI8" s="38"/>
      <c r="WWJ8" s="38"/>
      <c r="WWK8" s="38"/>
      <c r="WWL8" s="38"/>
      <c r="WWM8" s="38"/>
      <c r="WWN8" s="38"/>
      <c r="WWO8" s="38"/>
      <c r="WWP8" s="38"/>
      <c r="WWQ8" s="38"/>
      <c r="WWR8" s="38"/>
      <c r="WWS8" s="38"/>
      <c r="WWT8" s="38"/>
      <c r="WWU8" s="38"/>
      <c r="WWV8" s="38"/>
      <c r="WWW8" s="38"/>
      <c r="WWX8" s="38"/>
      <c r="WWY8" s="38"/>
      <c r="WWZ8" s="38"/>
      <c r="WXA8" s="38"/>
      <c r="WXB8" s="38"/>
      <c r="WXC8" s="38"/>
      <c r="WXD8" s="38"/>
      <c r="WXE8" s="38"/>
      <c r="WXF8" s="38"/>
      <c r="WXG8" s="38"/>
      <c r="WXH8" s="38"/>
      <c r="WXI8" s="38"/>
      <c r="WXJ8" s="38"/>
      <c r="WXK8" s="38"/>
      <c r="WXL8" s="38"/>
      <c r="WXM8" s="38"/>
      <c r="WXN8" s="38"/>
      <c r="WXO8" s="38"/>
      <c r="WXP8" s="38"/>
      <c r="WXQ8" s="38"/>
      <c r="WXR8" s="38"/>
      <c r="WXS8" s="38"/>
      <c r="WXT8" s="38"/>
      <c r="WXU8" s="38"/>
      <c r="WXV8" s="38"/>
      <c r="WXW8" s="38"/>
      <c r="WXX8" s="38"/>
      <c r="WXY8" s="38"/>
      <c r="WXZ8" s="38"/>
      <c r="WYA8" s="38"/>
      <c r="WYB8" s="38"/>
      <c r="WYC8" s="38"/>
      <c r="WYD8" s="38"/>
      <c r="WYE8" s="38"/>
      <c r="WYF8" s="38"/>
      <c r="WYG8" s="38"/>
      <c r="WYH8" s="38"/>
      <c r="WYI8" s="38"/>
      <c r="WYJ8" s="38"/>
      <c r="WYK8" s="38"/>
      <c r="WYL8" s="38"/>
      <c r="WYM8" s="38"/>
      <c r="WYN8" s="38"/>
      <c r="WYO8" s="38"/>
      <c r="WYP8" s="38"/>
      <c r="WYQ8" s="38"/>
      <c r="WYR8" s="38"/>
      <c r="WYS8" s="38"/>
      <c r="WYT8" s="38"/>
      <c r="WYU8" s="38"/>
      <c r="WYV8" s="38"/>
      <c r="WYW8" s="38"/>
      <c r="WYX8" s="38"/>
      <c r="WYY8" s="38"/>
      <c r="WYZ8" s="38"/>
      <c r="WZA8" s="38"/>
      <c r="WZB8" s="38"/>
      <c r="WZC8" s="38"/>
      <c r="WZD8" s="38"/>
      <c r="WZE8" s="38"/>
      <c r="WZF8" s="38"/>
      <c r="WZG8" s="38"/>
      <c r="WZH8" s="38"/>
      <c r="WZI8" s="38"/>
      <c r="WZJ8" s="38"/>
      <c r="WZK8" s="38"/>
      <c r="WZL8" s="38"/>
      <c r="WZM8" s="38"/>
      <c r="WZN8" s="38"/>
      <c r="WZO8" s="38"/>
      <c r="WZP8" s="38"/>
      <c r="WZQ8" s="38"/>
      <c r="WZR8" s="38"/>
      <c r="WZS8" s="38"/>
      <c r="WZT8" s="38"/>
      <c r="WZU8" s="38"/>
      <c r="WZV8" s="38"/>
      <c r="WZW8" s="38"/>
      <c r="WZX8" s="38"/>
      <c r="WZY8" s="38"/>
      <c r="WZZ8" s="38"/>
      <c r="XAA8" s="38"/>
      <c r="XAB8" s="38"/>
      <c r="XAC8" s="38"/>
      <c r="XAD8" s="38"/>
      <c r="XAE8" s="38"/>
      <c r="XAF8" s="38"/>
      <c r="XAG8" s="38"/>
      <c r="XAH8" s="38"/>
      <c r="XAI8" s="38"/>
      <c r="XAJ8" s="38"/>
      <c r="XAK8" s="38"/>
      <c r="XAL8" s="38"/>
      <c r="XAM8" s="38"/>
      <c r="XAN8" s="38"/>
      <c r="XAO8" s="38"/>
      <c r="XAP8" s="38"/>
      <c r="XAQ8" s="38"/>
      <c r="XAR8" s="38"/>
      <c r="XAS8" s="38"/>
      <c r="XAT8" s="38"/>
      <c r="XAU8" s="38"/>
      <c r="XAV8" s="38"/>
      <c r="XAW8" s="38"/>
      <c r="XAX8" s="38"/>
      <c r="XAY8" s="38"/>
      <c r="XAZ8" s="38"/>
      <c r="XBA8" s="38"/>
      <c r="XBB8" s="38"/>
      <c r="XBC8" s="38"/>
      <c r="XBD8" s="38"/>
      <c r="XBE8" s="38"/>
      <c r="XBF8" s="38"/>
      <c r="XBG8" s="38"/>
      <c r="XBH8" s="38"/>
      <c r="XBI8" s="38"/>
      <c r="XBJ8" s="38"/>
      <c r="XBK8" s="38"/>
      <c r="XBL8" s="38"/>
      <c r="XBM8" s="38"/>
      <c r="XBN8" s="38"/>
      <c r="XBO8" s="38"/>
      <c r="XBP8" s="38"/>
      <c r="XBQ8" s="38"/>
      <c r="XBR8" s="38"/>
      <c r="XBS8" s="38"/>
      <c r="XBT8" s="38"/>
      <c r="XBU8" s="38"/>
      <c r="XBV8" s="38"/>
      <c r="XBW8" s="38"/>
      <c r="XBX8" s="38"/>
      <c r="XBY8" s="38"/>
      <c r="XBZ8" s="38"/>
      <c r="XCA8" s="38"/>
      <c r="XCB8" s="38"/>
      <c r="XCC8" s="38"/>
      <c r="XCD8" s="38"/>
      <c r="XCE8" s="38"/>
      <c r="XCF8" s="38"/>
      <c r="XCG8" s="38"/>
      <c r="XCH8" s="38"/>
      <c r="XCI8" s="38"/>
      <c r="XCJ8" s="38"/>
      <c r="XCK8" s="38"/>
      <c r="XCL8" s="38"/>
      <c r="XCM8" s="38"/>
      <c r="XCN8" s="38"/>
      <c r="XCO8" s="38"/>
      <c r="XCP8" s="38"/>
      <c r="XCQ8" s="38"/>
      <c r="XCR8" s="38"/>
      <c r="XCS8" s="38"/>
      <c r="XCT8" s="38"/>
      <c r="XCU8" s="38"/>
      <c r="XCV8" s="38"/>
      <c r="XCW8" s="38"/>
      <c r="XCX8" s="38"/>
      <c r="XCY8" s="38"/>
      <c r="XCZ8" s="38"/>
      <c r="XDA8" s="38"/>
      <c r="XDB8" s="38"/>
      <c r="XDC8" s="38"/>
      <c r="XDD8" s="38"/>
      <c r="XDE8" s="38"/>
      <c r="XDF8" s="38"/>
      <c r="XDG8" s="38"/>
      <c r="XDH8" s="38"/>
      <c r="XDI8" s="38"/>
      <c r="XDJ8" s="38"/>
      <c r="XDK8" s="38"/>
      <c r="XDL8" s="38"/>
      <c r="XDM8" s="38"/>
      <c r="XDN8" s="38"/>
      <c r="XDO8" s="38"/>
      <c r="XDP8" s="38"/>
      <c r="XDQ8" s="38"/>
      <c r="XDR8" s="38"/>
      <c r="XDS8" s="38"/>
      <c r="XDT8" s="38"/>
      <c r="XDU8" s="38"/>
      <c r="XDV8" s="38"/>
      <c r="XDW8" s="38"/>
      <c r="XDX8" s="38"/>
      <c r="XDY8" s="38"/>
      <c r="XDZ8" s="38"/>
      <c r="XEA8" s="38"/>
      <c r="XEB8" s="38"/>
      <c r="XEC8" s="38"/>
      <c r="XED8" s="38"/>
      <c r="XEE8" s="38"/>
      <c r="XEF8" s="38"/>
      <c r="XEG8" s="38"/>
      <c r="XEH8" s="38"/>
      <c r="XEI8" s="38"/>
      <c r="XEJ8" s="38"/>
      <c r="XEK8" s="38"/>
      <c r="XEL8" s="38"/>
      <c r="XEM8" s="38"/>
      <c r="XEN8" s="38"/>
      <c r="XEO8" s="38"/>
      <c r="XEP8" s="38"/>
      <c r="XEQ8" s="38"/>
      <c r="XER8" s="38"/>
      <c r="XES8" s="38"/>
    </row>
    <row r="9" spans="1:815 1097:5554 16037:16373" s="3" customFormat="1" x14ac:dyDescent="0.2">
      <c r="A9" s="96">
        <v>2</v>
      </c>
      <c r="B9" s="124" t="s">
        <v>6</v>
      </c>
      <c r="C9" s="51">
        <f>ROUND(Total!C9/4,-2)</f>
        <v>1311600</v>
      </c>
      <c r="D9" s="110">
        <f>ROUND(Total!D9/4,-2)</f>
        <v>0</v>
      </c>
      <c r="E9" s="110">
        <f>ROUND(Total!E9/4,-2)</f>
        <v>12700</v>
      </c>
      <c r="F9" s="51">
        <f>ROUND(Total!F9/4,-2)</f>
        <v>92100</v>
      </c>
      <c r="G9" s="110">
        <f>ROUND(Total!G9/4,-2)</f>
        <v>0</v>
      </c>
      <c r="H9" s="129">
        <f t="shared" si="0"/>
        <v>1416400</v>
      </c>
      <c r="I9" s="98"/>
      <c r="J9" s="96">
        <v>2</v>
      </c>
      <c r="K9" s="124" t="s">
        <v>6</v>
      </c>
      <c r="L9" s="51">
        <f>ROUND(Total!C9/4,-2)</f>
        <v>1311600</v>
      </c>
      <c r="M9" s="110">
        <f>ROUND(Total!D9/4,-2)</f>
        <v>0</v>
      </c>
      <c r="N9" s="110">
        <f>ROUND(Total!E9/4,-2)</f>
        <v>12700</v>
      </c>
      <c r="O9" s="51">
        <f>ROUND(Total!F9/4,-2)</f>
        <v>92100</v>
      </c>
      <c r="P9" s="110">
        <f>ROUND(Total!G9/4,-2)</f>
        <v>0</v>
      </c>
      <c r="Q9" s="129">
        <f t="shared" si="1"/>
        <v>1416400</v>
      </c>
      <c r="R9" s="98"/>
      <c r="S9" s="96">
        <v>2</v>
      </c>
      <c r="T9" s="124" t="s">
        <v>6</v>
      </c>
      <c r="U9" s="51">
        <f>ROUND(Total!C9/4,-2)</f>
        <v>1311600</v>
      </c>
      <c r="V9" s="110">
        <f>ROUND(Total!D9/4,-2)</f>
        <v>0</v>
      </c>
      <c r="W9" s="110">
        <f>ROUND(Total!E9/4,-2)</f>
        <v>12700</v>
      </c>
      <c r="X9" s="51">
        <f>ROUND(Total!F9/4,-2)</f>
        <v>92100</v>
      </c>
      <c r="Y9" s="110">
        <f>ROUND(Total!G9/4,-2)</f>
        <v>0</v>
      </c>
      <c r="Z9" s="129">
        <f t="shared" si="2"/>
        <v>1416400</v>
      </c>
      <c r="AA9" s="98"/>
      <c r="AB9" s="96">
        <v>2</v>
      </c>
      <c r="AC9" s="124" t="s">
        <v>6</v>
      </c>
      <c r="AD9" s="51">
        <f>Total!C9-Auszahlungen!C9-Auszahlungen!L9-Auszahlungen!U9</f>
        <v>1311400</v>
      </c>
      <c r="AE9" s="110">
        <f>Total!D9-Auszahlungen!D9-Auszahlungen!M9-Auszahlungen!V9</f>
        <v>0</v>
      </c>
      <c r="AF9" s="110">
        <f>Total!E9-Auszahlungen!E9-Auszahlungen!N9-Auszahlungen!W9</f>
        <v>12500</v>
      </c>
      <c r="AG9" s="51">
        <f>Total!F9-Auszahlungen!F9-Auszahlungen!O9-Auszahlungen!X9</f>
        <v>92100</v>
      </c>
      <c r="AH9" s="110">
        <f>Total!G9-Auszahlungen!G9-Auszahlungen!P9-Auszahlungen!Y9</f>
        <v>0</v>
      </c>
      <c r="AI9" s="129">
        <f t="shared" si="3"/>
        <v>1416000</v>
      </c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  <c r="IW9" s="38"/>
      <c r="IX9" s="38"/>
      <c r="IY9" s="38"/>
      <c r="IZ9" s="38"/>
      <c r="JA9" s="38"/>
      <c r="JB9" s="38"/>
      <c r="JC9" s="38"/>
      <c r="JD9" s="38"/>
      <c r="JE9" s="38"/>
      <c r="JF9" s="38"/>
      <c r="JG9" s="38"/>
      <c r="JH9" s="38"/>
      <c r="JI9" s="38"/>
      <c r="JJ9" s="38"/>
      <c r="JK9" s="38"/>
      <c r="JL9" s="38"/>
      <c r="JM9" s="38"/>
      <c r="JN9" s="38"/>
      <c r="JO9" s="38"/>
      <c r="JP9" s="38"/>
      <c r="JQ9" s="38"/>
      <c r="JR9" s="38"/>
      <c r="JS9" s="38"/>
      <c r="JT9" s="38"/>
      <c r="JU9" s="38"/>
      <c r="JV9" s="38"/>
      <c r="JW9" s="38"/>
      <c r="JX9" s="38"/>
      <c r="JY9" s="38"/>
      <c r="JZ9" s="38"/>
      <c r="KA9" s="38"/>
      <c r="KB9" s="38"/>
      <c r="KC9" s="38"/>
      <c r="KD9" s="38"/>
      <c r="KE9" s="38"/>
      <c r="KF9" s="38"/>
      <c r="KG9" s="38"/>
      <c r="KH9" s="38"/>
      <c r="KI9" s="38"/>
      <c r="KJ9" s="38"/>
      <c r="KK9" s="38"/>
      <c r="KL9" s="38"/>
      <c r="KM9" s="38"/>
      <c r="KN9" s="38"/>
      <c r="KO9" s="38"/>
      <c r="KP9" s="38"/>
      <c r="KQ9" s="38"/>
      <c r="KR9" s="38"/>
      <c r="KS9" s="38"/>
      <c r="KT9" s="38"/>
      <c r="KU9" s="38"/>
      <c r="KV9" s="38"/>
      <c r="KW9" s="38"/>
      <c r="KX9" s="38"/>
      <c r="KY9" s="38"/>
      <c r="KZ9" s="38"/>
      <c r="LA9" s="38"/>
      <c r="LB9" s="38"/>
      <c r="LC9" s="38"/>
      <c r="LD9" s="38"/>
      <c r="LE9" s="38"/>
      <c r="LF9" s="38"/>
      <c r="LG9" s="38"/>
      <c r="LH9" s="38"/>
      <c r="LI9" s="38"/>
      <c r="LJ9" s="38"/>
      <c r="LK9" s="38"/>
      <c r="LL9" s="38"/>
      <c r="LM9" s="38"/>
      <c r="LN9" s="38"/>
      <c r="LO9" s="38"/>
      <c r="LP9" s="38"/>
      <c r="LQ9" s="38"/>
      <c r="LR9" s="38"/>
      <c r="LS9" s="38"/>
      <c r="LT9" s="38"/>
      <c r="LU9" s="38"/>
      <c r="LV9" s="38"/>
      <c r="LW9" s="38"/>
      <c r="LX9" s="38"/>
      <c r="LY9" s="38"/>
      <c r="LZ9" s="38"/>
      <c r="MA9" s="38"/>
      <c r="MB9" s="38"/>
      <c r="MC9" s="38"/>
      <c r="MD9" s="38"/>
      <c r="ME9" s="38"/>
      <c r="MF9" s="38"/>
      <c r="MG9" s="38"/>
      <c r="MH9" s="38"/>
      <c r="MI9" s="38"/>
      <c r="MJ9" s="38"/>
      <c r="MK9" s="38"/>
      <c r="ML9" s="38"/>
      <c r="MM9" s="38"/>
      <c r="MN9" s="38"/>
      <c r="MO9" s="38"/>
      <c r="MP9" s="38"/>
      <c r="MQ9" s="38"/>
      <c r="MR9" s="38"/>
      <c r="MS9" s="38"/>
      <c r="MT9" s="38"/>
      <c r="MU9" s="38"/>
      <c r="MV9" s="38"/>
      <c r="MW9" s="38"/>
      <c r="MX9" s="38"/>
      <c r="MY9" s="38"/>
      <c r="MZ9" s="38"/>
      <c r="NA9" s="38"/>
      <c r="NB9" s="38"/>
      <c r="NC9" s="38"/>
      <c r="ND9" s="38"/>
      <c r="NE9" s="38"/>
      <c r="NF9" s="38"/>
      <c r="NG9" s="38"/>
      <c r="NH9" s="38"/>
      <c r="NI9" s="38"/>
      <c r="NJ9" s="38"/>
      <c r="NK9" s="38"/>
      <c r="NL9" s="38"/>
      <c r="NM9" s="38"/>
      <c r="NN9" s="38"/>
      <c r="NO9" s="38"/>
      <c r="NP9" s="38"/>
      <c r="NQ9" s="38"/>
      <c r="NR9" s="38"/>
      <c r="NS9" s="38"/>
      <c r="NT9" s="38"/>
      <c r="NU9" s="38"/>
      <c r="NV9" s="38"/>
      <c r="NW9" s="38"/>
      <c r="NX9" s="38"/>
      <c r="NY9" s="38"/>
      <c r="NZ9" s="38"/>
      <c r="OA9" s="38"/>
      <c r="OB9" s="38"/>
      <c r="OC9" s="38"/>
      <c r="OD9" s="38"/>
      <c r="OE9" s="38"/>
      <c r="OF9" s="38"/>
      <c r="OG9" s="38"/>
      <c r="OH9" s="38"/>
      <c r="OI9" s="38"/>
      <c r="OJ9" s="38"/>
      <c r="OK9" s="38"/>
      <c r="OL9" s="38"/>
      <c r="OM9" s="38"/>
      <c r="ON9" s="38"/>
      <c r="OO9" s="38"/>
      <c r="OP9" s="38"/>
      <c r="OQ9" s="38"/>
      <c r="OR9" s="38"/>
      <c r="OS9" s="38"/>
      <c r="OT9" s="38"/>
      <c r="OU9" s="38"/>
      <c r="OV9" s="38"/>
      <c r="OW9" s="38"/>
      <c r="OX9" s="38"/>
      <c r="OY9" s="38"/>
      <c r="OZ9" s="38"/>
      <c r="PA9" s="38"/>
      <c r="PB9" s="38"/>
      <c r="PC9" s="38"/>
      <c r="PD9" s="38"/>
      <c r="PE9" s="38"/>
      <c r="PF9" s="38"/>
      <c r="PG9" s="38"/>
      <c r="PH9" s="38"/>
      <c r="PI9" s="38"/>
      <c r="PJ9" s="38"/>
      <c r="PK9" s="38"/>
      <c r="PL9" s="38"/>
      <c r="PM9" s="38"/>
      <c r="PN9" s="38"/>
      <c r="PO9" s="38"/>
      <c r="PP9" s="38"/>
      <c r="PQ9" s="38"/>
      <c r="PR9" s="38"/>
      <c r="PS9" s="38"/>
      <c r="PT9" s="38"/>
      <c r="PU9" s="38"/>
      <c r="PV9" s="38"/>
      <c r="PW9" s="38"/>
      <c r="PX9" s="38"/>
      <c r="PY9" s="38"/>
      <c r="PZ9" s="38"/>
      <c r="QA9" s="38"/>
      <c r="QB9" s="38"/>
      <c r="QC9" s="38"/>
      <c r="QD9" s="38"/>
      <c r="QE9" s="38"/>
      <c r="QF9" s="38"/>
      <c r="QG9" s="38"/>
      <c r="QH9" s="38"/>
      <c r="QI9" s="38"/>
      <c r="QJ9" s="38"/>
      <c r="QK9" s="38"/>
      <c r="QL9" s="38"/>
      <c r="QM9" s="38"/>
      <c r="QN9" s="38"/>
      <c r="QO9" s="38"/>
      <c r="QP9" s="38"/>
      <c r="QQ9" s="38"/>
      <c r="QR9" s="38"/>
      <c r="QS9" s="38"/>
      <c r="QT9" s="38"/>
      <c r="QU9" s="38"/>
      <c r="QV9" s="38"/>
      <c r="QW9" s="38"/>
      <c r="QX9" s="38"/>
      <c r="QY9" s="38"/>
      <c r="QZ9" s="38"/>
      <c r="RA9" s="38"/>
      <c r="RB9" s="38"/>
      <c r="RC9" s="38"/>
      <c r="RD9" s="38"/>
      <c r="RE9" s="38"/>
      <c r="RF9" s="38"/>
      <c r="RG9" s="38"/>
      <c r="RH9" s="38"/>
      <c r="RI9" s="38"/>
      <c r="RJ9" s="38"/>
      <c r="RK9" s="38"/>
      <c r="WRU9" s="38"/>
      <c r="WRV9" s="38"/>
      <c r="WRW9" s="38"/>
      <c r="WRX9" s="38"/>
      <c r="WRY9" s="38"/>
      <c r="WRZ9" s="38"/>
      <c r="WSA9" s="38"/>
      <c r="WSB9" s="38"/>
      <c r="WSC9" s="38"/>
      <c r="WSD9" s="38"/>
      <c r="WSE9" s="38"/>
      <c r="WSF9" s="38"/>
      <c r="WSG9" s="38"/>
      <c r="WSH9" s="38"/>
      <c r="WSI9" s="38"/>
      <c r="WSJ9" s="38"/>
      <c r="WSK9" s="38"/>
      <c r="WSL9" s="38"/>
      <c r="WSM9" s="38"/>
      <c r="WSN9" s="38"/>
      <c r="WSO9" s="38"/>
      <c r="WSP9" s="38"/>
      <c r="WSQ9" s="38"/>
      <c r="WSR9" s="38"/>
      <c r="WSS9" s="38"/>
      <c r="WST9" s="38"/>
      <c r="WSU9" s="38"/>
      <c r="WSV9" s="38"/>
      <c r="WSW9" s="38"/>
      <c r="WSX9" s="38"/>
      <c r="WSY9" s="38"/>
      <c r="WSZ9" s="38"/>
      <c r="WTA9" s="38"/>
      <c r="WTB9" s="38"/>
      <c r="WTC9" s="38"/>
      <c r="WTD9" s="38"/>
      <c r="WTE9" s="38"/>
      <c r="WTF9" s="38"/>
      <c r="WTG9" s="38"/>
      <c r="WTH9" s="38"/>
      <c r="WTI9" s="38"/>
      <c r="WTJ9" s="38"/>
      <c r="WTK9" s="38"/>
      <c r="WTL9" s="38"/>
      <c r="WTM9" s="38"/>
      <c r="WTN9" s="38"/>
      <c r="WTO9" s="38"/>
      <c r="WTP9" s="38"/>
      <c r="WTQ9" s="38"/>
      <c r="WTR9" s="38"/>
      <c r="WTS9" s="38"/>
      <c r="WTT9" s="38"/>
      <c r="WTU9" s="38"/>
      <c r="WTV9" s="38"/>
      <c r="WTW9" s="38"/>
      <c r="WTX9" s="38"/>
      <c r="WTY9" s="38"/>
      <c r="WTZ9" s="38"/>
      <c r="WUA9" s="38"/>
      <c r="WUB9" s="38"/>
      <c r="WUC9" s="38"/>
      <c r="WUD9" s="38"/>
      <c r="WUE9" s="38"/>
      <c r="WUF9" s="38"/>
      <c r="WUG9" s="38"/>
      <c r="WUH9" s="38"/>
      <c r="WUI9" s="38"/>
      <c r="WUJ9" s="38"/>
      <c r="WUK9" s="38"/>
      <c r="WUL9" s="38"/>
      <c r="WUM9" s="38"/>
      <c r="WUN9" s="38"/>
      <c r="WUO9" s="38"/>
      <c r="WUP9" s="38"/>
      <c r="WUQ9" s="38"/>
      <c r="WUR9" s="38"/>
      <c r="WUS9" s="38"/>
      <c r="WUT9" s="38"/>
      <c r="WUU9" s="38"/>
      <c r="WUV9" s="38"/>
      <c r="WUW9" s="38"/>
      <c r="WUX9" s="38"/>
      <c r="WUY9" s="38"/>
      <c r="WUZ9" s="38"/>
      <c r="WVA9" s="38"/>
      <c r="WVB9" s="38"/>
      <c r="WVC9" s="38"/>
      <c r="WVD9" s="38"/>
      <c r="WVE9" s="38"/>
      <c r="WVF9" s="38"/>
      <c r="WVG9" s="38"/>
      <c r="WVH9" s="38"/>
      <c r="WVI9" s="38"/>
      <c r="WVJ9" s="38"/>
      <c r="WVK9" s="38"/>
      <c r="WVL9" s="38"/>
      <c r="WVM9" s="38"/>
      <c r="WVN9" s="38"/>
      <c r="WVO9" s="38"/>
      <c r="WVP9" s="38"/>
      <c r="WVQ9" s="38"/>
      <c r="WVR9" s="38"/>
      <c r="WVS9" s="38"/>
      <c r="WVT9" s="38"/>
      <c r="WVU9" s="38"/>
      <c r="WVV9" s="38"/>
      <c r="WVW9" s="38"/>
      <c r="WVX9" s="38"/>
      <c r="WVY9" s="38"/>
      <c r="WVZ9" s="38"/>
      <c r="WWA9" s="38"/>
      <c r="WWB9" s="38"/>
      <c r="WWC9" s="38"/>
      <c r="WWD9" s="38"/>
      <c r="WWE9" s="38"/>
      <c r="WWF9" s="38"/>
      <c r="WWG9" s="38"/>
      <c r="WWH9" s="38"/>
      <c r="WWI9" s="38"/>
      <c r="WWJ9" s="38"/>
      <c r="WWK9" s="38"/>
      <c r="WWL9" s="38"/>
      <c r="WWM9" s="38"/>
      <c r="WWN9" s="38"/>
      <c r="WWO9" s="38"/>
      <c r="WWP9" s="38"/>
      <c r="WWQ9" s="38"/>
      <c r="WWR9" s="38"/>
      <c r="WWS9" s="38"/>
      <c r="WWT9" s="38"/>
      <c r="WWU9" s="38"/>
      <c r="WWV9" s="38"/>
      <c r="WWW9" s="38"/>
      <c r="WWX9" s="38"/>
      <c r="WWY9" s="38"/>
      <c r="WWZ9" s="38"/>
      <c r="WXA9" s="38"/>
      <c r="WXB9" s="38"/>
      <c r="WXC9" s="38"/>
      <c r="WXD9" s="38"/>
      <c r="WXE9" s="38"/>
      <c r="WXF9" s="38"/>
      <c r="WXG9" s="38"/>
      <c r="WXH9" s="38"/>
      <c r="WXI9" s="38"/>
      <c r="WXJ9" s="38"/>
      <c r="WXK9" s="38"/>
      <c r="WXL9" s="38"/>
      <c r="WXM9" s="38"/>
      <c r="WXN9" s="38"/>
      <c r="WXO9" s="38"/>
      <c r="WXP9" s="38"/>
      <c r="WXQ9" s="38"/>
      <c r="WXR9" s="38"/>
      <c r="WXS9" s="38"/>
      <c r="WXT9" s="38"/>
      <c r="WXU9" s="38"/>
      <c r="WXV9" s="38"/>
      <c r="WXW9" s="38"/>
      <c r="WXX9" s="38"/>
      <c r="WXY9" s="38"/>
      <c r="WXZ9" s="38"/>
      <c r="WYA9" s="38"/>
      <c r="WYB9" s="38"/>
      <c r="WYC9" s="38"/>
      <c r="WYD9" s="38"/>
      <c r="WYE9" s="38"/>
      <c r="WYF9" s="38"/>
      <c r="WYG9" s="38"/>
      <c r="WYH9" s="38"/>
      <c r="WYI9" s="38"/>
      <c r="WYJ9" s="38"/>
      <c r="WYK9" s="38"/>
      <c r="WYL9" s="38"/>
      <c r="WYM9" s="38"/>
      <c r="WYN9" s="38"/>
      <c r="WYO9" s="38"/>
      <c r="WYP9" s="38"/>
      <c r="WYQ9" s="38"/>
      <c r="WYR9" s="38"/>
      <c r="WYS9" s="38"/>
      <c r="WYT9" s="38"/>
      <c r="WYU9" s="38"/>
      <c r="WYV9" s="38"/>
      <c r="WYW9" s="38"/>
      <c r="WYX9" s="38"/>
      <c r="WYY9" s="38"/>
      <c r="WYZ9" s="38"/>
      <c r="WZA9" s="38"/>
      <c r="WZB9" s="38"/>
      <c r="WZC9" s="38"/>
      <c r="WZD9" s="38"/>
      <c r="WZE9" s="38"/>
      <c r="WZF9" s="38"/>
      <c r="WZG9" s="38"/>
      <c r="WZH9" s="38"/>
      <c r="WZI9" s="38"/>
      <c r="WZJ9" s="38"/>
      <c r="WZK9" s="38"/>
      <c r="WZL9" s="38"/>
      <c r="WZM9" s="38"/>
      <c r="WZN9" s="38"/>
      <c r="WZO9" s="38"/>
      <c r="WZP9" s="38"/>
      <c r="WZQ9" s="38"/>
      <c r="WZR9" s="38"/>
      <c r="WZS9" s="38"/>
      <c r="WZT9" s="38"/>
      <c r="WZU9" s="38"/>
      <c r="WZV9" s="38"/>
      <c r="WZW9" s="38"/>
      <c r="WZX9" s="38"/>
      <c r="WZY9" s="38"/>
      <c r="WZZ9" s="38"/>
      <c r="XAA9" s="38"/>
      <c r="XAB9" s="38"/>
      <c r="XAC9" s="38"/>
      <c r="XAD9" s="38"/>
      <c r="XAE9" s="38"/>
      <c r="XAF9" s="38"/>
      <c r="XAG9" s="38"/>
      <c r="XAH9" s="38"/>
      <c r="XAI9" s="38"/>
      <c r="XAJ9" s="38"/>
      <c r="XAK9" s="38"/>
      <c r="XAL9" s="38"/>
      <c r="XAM9" s="38"/>
      <c r="XAN9" s="38"/>
      <c r="XAO9" s="38"/>
      <c r="XAP9" s="38"/>
      <c r="XAQ9" s="38"/>
      <c r="XAR9" s="38"/>
      <c r="XAS9" s="38"/>
      <c r="XAT9" s="38"/>
      <c r="XAU9" s="38"/>
      <c r="XAV9" s="38"/>
      <c r="XAW9" s="38"/>
      <c r="XAX9" s="38"/>
      <c r="XAY9" s="38"/>
      <c r="XAZ9" s="38"/>
      <c r="XBA9" s="38"/>
      <c r="XBB9" s="38"/>
      <c r="XBC9" s="38"/>
      <c r="XBD9" s="38"/>
      <c r="XBE9" s="38"/>
      <c r="XBF9" s="38"/>
      <c r="XBG9" s="38"/>
      <c r="XBH9" s="38"/>
      <c r="XBI9" s="38"/>
      <c r="XBJ9" s="38"/>
      <c r="XBK9" s="38"/>
      <c r="XBL9" s="38"/>
      <c r="XBM9" s="38"/>
      <c r="XBN9" s="38"/>
      <c r="XBO9" s="38"/>
      <c r="XBP9" s="38"/>
      <c r="XBQ9" s="38"/>
      <c r="XBR9" s="38"/>
      <c r="XBS9" s="38"/>
      <c r="XBT9" s="38"/>
      <c r="XBU9" s="38"/>
      <c r="XBV9" s="38"/>
      <c r="XBW9" s="38"/>
      <c r="XBX9" s="38"/>
      <c r="XBY9" s="38"/>
      <c r="XBZ9" s="38"/>
      <c r="XCA9" s="38"/>
      <c r="XCB9" s="38"/>
      <c r="XCC9" s="38"/>
      <c r="XCD9" s="38"/>
      <c r="XCE9" s="38"/>
      <c r="XCF9" s="38"/>
      <c r="XCG9" s="38"/>
      <c r="XCH9" s="38"/>
      <c r="XCI9" s="38"/>
      <c r="XCJ9" s="38"/>
      <c r="XCK9" s="38"/>
      <c r="XCL9" s="38"/>
      <c r="XCM9" s="38"/>
      <c r="XCN9" s="38"/>
      <c r="XCO9" s="38"/>
      <c r="XCP9" s="38"/>
      <c r="XCQ9" s="38"/>
      <c r="XCR9" s="38"/>
      <c r="XCS9" s="38"/>
      <c r="XCT9" s="38"/>
      <c r="XCU9" s="38"/>
      <c r="XCV9" s="38"/>
      <c r="XCW9" s="38"/>
      <c r="XCX9" s="38"/>
      <c r="XCY9" s="38"/>
      <c r="XCZ9" s="38"/>
      <c r="XDA9" s="38"/>
      <c r="XDB9" s="38"/>
      <c r="XDC9" s="38"/>
      <c r="XDD9" s="38"/>
      <c r="XDE9" s="38"/>
      <c r="XDF9" s="38"/>
      <c r="XDG9" s="38"/>
      <c r="XDH9" s="38"/>
      <c r="XDI9" s="38"/>
      <c r="XDJ9" s="38"/>
      <c r="XDK9" s="38"/>
      <c r="XDL9" s="38"/>
      <c r="XDM9" s="38"/>
      <c r="XDN9" s="38"/>
      <c r="XDO9" s="38"/>
      <c r="XDP9" s="38"/>
      <c r="XDQ9" s="38"/>
      <c r="XDR9" s="38"/>
      <c r="XDS9" s="38"/>
      <c r="XDT9" s="38"/>
      <c r="XDU9" s="38"/>
      <c r="XDV9" s="38"/>
      <c r="XDW9" s="38"/>
      <c r="XDX9" s="38"/>
      <c r="XDY9" s="38"/>
      <c r="XDZ9" s="38"/>
      <c r="XEA9" s="38"/>
      <c r="XEB9" s="38"/>
      <c r="XEC9" s="38"/>
      <c r="XED9" s="38"/>
      <c r="XEE9" s="38"/>
      <c r="XEF9" s="38"/>
      <c r="XEG9" s="38"/>
      <c r="XEH9" s="38"/>
      <c r="XEI9" s="38"/>
      <c r="XEJ9" s="38"/>
      <c r="XEK9" s="38"/>
      <c r="XEL9" s="38"/>
      <c r="XEM9" s="38"/>
      <c r="XEN9" s="38"/>
      <c r="XEO9" s="38"/>
      <c r="XEP9" s="38"/>
      <c r="XEQ9" s="38"/>
      <c r="XER9" s="38"/>
      <c r="XES9" s="38"/>
    </row>
    <row r="10" spans="1:815 1097:5554 16037:16373" x14ac:dyDescent="0.2">
      <c r="A10" s="96">
        <v>3</v>
      </c>
      <c r="B10" s="124" t="s">
        <v>7</v>
      </c>
      <c r="C10" s="51">
        <f>ROUND(Total!C10/4,-2)</f>
        <v>161800</v>
      </c>
      <c r="D10" s="110">
        <f>ROUND(Total!D10/4,-2)</f>
        <v>101900</v>
      </c>
      <c r="E10" s="110">
        <f>ROUND(Total!E10/4,-2)</f>
        <v>135000</v>
      </c>
      <c r="F10" s="51">
        <f>ROUND(Total!F10/4,-2)</f>
        <v>0</v>
      </c>
      <c r="G10" s="110">
        <f>ROUND(Total!G10/4,-2)</f>
        <v>0</v>
      </c>
      <c r="H10" s="129">
        <f t="shared" si="0"/>
        <v>398700</v>
      </c>
      <c r="I10" s="97"/>
      <c r="J10" s="96">
        <v>3</v>
      </c>
      <c r="K10" s="124" t="s">
        <v>7</v>
      </c>
      <c r="L10" s="51">
        <f>ROUND(Total!C10/4,-2)</f>
        <v>161800</v>
      </c>
      <c r="M10" s="110">
        <f>ROUND(Total!D10/4,-2)</f>
        <v>101900</v>
      </c>
      <c r="N10" s="110">
        <f>ROUND(Total!E10/4,-2)</f>
        <v>135000</v>
      </c>
      <c r="O10" s="51">
        <f>ROUND(Total!F10/4,-2)</f>
        <v>0</v>
      </c>
      <c r="P10" s="110">
        <f>ROUND(Total!G10/4,-2)</f>
        <v>0</v>
      </c>
      <c r="Q10" s="129">
        <f t="shared" si="1"/>
        <v>398700</v>
      </c>
      <c r="R10" s="97"/>
      <c r="S10" s="96">
        <v>3</v>
      </c>
      <c r="T10" s="124" t="s">
        <v>7</v>
      </c>
      <c r="U10" s="51">
        <f>ROUND(Total!C10/4,-2)</f>
        <v>161800</v>
      </c>
      <c r="V10" s="110">
        <f>ROUND(Total!D10/4,-2)</f>
        <v>101900</v>
      </c>
      <c r="W10" s="110">
        <f>ROUND(Total!E10/4,-2)</f>
        <v>135000</v>
      </c>
      <c r="X10" s="51">
        <f>ROUND(Total!F10/4,-2)</f>
        <v>0</v>
      </c>
      <c r="Y10" s="110">
        <f>ROUND(Total!G10/4,-2)</f>
        <v>0</v>
      </c>
      <c r="Z10" s="129">
        <f t="shared" si="2"/>
        <v>398700</v>
      </c>
      <c r="AA10" s="97"/>
      <c r="AB10" s="96">
        <v>3</v>
      </c>
      <c r="AC10" s="124" t="s">
        <v>7</v>
      </c>
      <c r="AD10" s="51">
        <f>Total!C10-Auszahlungen!C10-Auszahlungen!L10-Auszahlungen!U10</f>
        <v>161600</v>
      </c>
      <c r="AE10" s="110">
        <f>Total!D10-Auszahlungen!D10-Auszahlungen!M10-Auszahlungen!V10</f>
        <v>101700</v>
      </c>
      <c r="AF10" s="110">
        <f>Total!E10-Auszahlungen!E10-Auszahlungen!N10-Auszahlungen!W10</f>
        <v>135000</v>
      </c>
      <c r="AG10" s="51">
        <f>Total!F10-Auszahlungen!F10-Auszahlungen!O10-Auszahlungen!X10</f>
        <v>0</v>
      </c>
      <c r="AH10" s="110">
        <f>Total!G10-Auszahlungen!G10-Auszahlungen!P10-Auszahlungen!Y10</f>
        <v>0</v>
      </c>
      <c r="AI10" s="129">
        <f t="shared" si="3"/>
        <v>398300</v>
      </c>
    </row>
    <row r="11" spans="1:815 1097:5554 16037:16373" x14ac:dyDescent="0.2">
      <c r="A11" s="96">
        <v>4</v>
      </c>
      <c r="B11" s="124" t="s">
        <v>8</v>
      </c>
      <c r="C11" s="51">
        <f>ROUND(Total!C11/4,-2)</f>
        <v>232100</v>
      </c>
      <c r="D11" s="110">
        <f>ROUND(Total!D11/4,-2)</f>
        <v>157500</v>
      </c>
      <c r="E11" s="110">
        <f>ROUND(Total!E11/4,-2)</f>
        <v>28300</v>
      </c>
      <c r="F11" s="51">
        <f>ROUND(Total!F11/4,-2)</f>
        <v>0</v>
      </c>
      <c r="G11" s="110">
        <f>ROUND(Total!G11/4,-2)</f>
        <v>0</v>
      </c>
      <c r="H11" s="129">
        <f t="shared" si="0"/>
        <v>417900</v>
      </c>
      <c r="I11" s="97"/>
      <c r="J11" s="96">
        <v>4</v>
      </c>
      <c r="K11" s="124" t="s">
        <v>8</v>
      </c>
      <c r="L11" s="51">
        <f>ROUND(Total!C11/4,-2)</f>
        <v>232100</v>
      </c>
      <c r="M11" s="110">
        <f>ROUND(Total!D11/4,-2)</f>
        <v>157500</v>
      </c>
      <c r="N11" s="110">
        <f>ROUND(Total!E11/4,-2)</f>
        <v>28300</v>
      </c>
      <c r="O11" s="51">
        <f>ROUND(Total!F11/4,-2)</f>
        <v>0</v>
      </c>
      <c r="P11" s="110">
        <f>ROUND(Total!G11/4,-2)</f>
        <v>0</v>
      </c>
      <c r="Q11" s="129">
        <f t="shared" si="1"/>
        <v>417900</v>
      </c>
      <c r="R11" s="97"/>
      <c r="S11" s="96">
        <v>4</v>
      </c>
      <c r="T11" s="124" t="s">
        <v>8</v>
      </c>
      <c r="U11" s="51">
        <f>ROUND(Total!C11/4,-2)</f>
        <v>232100</v>
      </c>
      <c r="V11" s="110">
        <f>ROUND(Total!D11/4,-2)</f>
        <v>157500</v>
      </c>
      <c r="W11" s="110">
        <f>ROUND(Total!E11/4,-2)</f>
        <v>28300</v>
      </c>
      <c r="X11" s="51">
        <f>ROUND(Total!F11/4,-2)</f>
        <v>0</v>
      </c>
      <c r="Y11" s="110">
        <f>ROUND(Total!G11/4,-2)</f>
        <v>0</v>
      </c>
      <c r="Z11" s="129">
        <f t="shared" si="2"/>
        <v>417900</v>
      </c>
      <c r="AA11" s="97"/>
      <c r="AB11" s="96">
        <v>4</v>
      </c>
      <c r="AC11" s="124" t="s">
        <v>8</v>
      </c>
      <c r="AD11" s="51">
        <f>Total!C11-Auszahlungen!C11-Auszahlungen!L11-Auszahlungen!U11</f>
        <v>232100</v>
      </c>
      <c r="AE11" s="110">
        <f>Total!D11-Auszahlungen!D11-Auszahlungen!M11-Auszahlungen!V11</f>
        <v>157400</v>
      </c>
      <c r="AF11" s="110">
        <f>Total!E11-Auszahlungen!E11-Auszahlungen!N11-Auszahlungen!W11</f>
        <v>28400</v>
      </c>
      <c r="AG11" s="51">
        <f>Total!F11-Auszahlungen!F11-Auszahlungen!O11-Auszahlungen!X11</f>
        <v>0</v>
      </c>
      <c r="AH11" s="110">
        <f>Total!G11-Auszahlungen!G11-Auszahlungen!P11-Auszahlungen!Y11</f>
        <v>0</v>
      </c>
      <c r="AI11" s="129">
        <f t="shared" si="3"/>
        <v>417900</v>
      </c>
    </row>
    <row r="12" spans="1:815 1097:5554 16037:16373" x14ac:dyDescent="0.2">
      <c r="A12" s="96">
        <v>5</v>
      </c>
      <c r="B12" s="124" t="s">
        <v>9</v>
      </c>
      <c r="C12" s="51">
        <f>ROUND(Total!C12/4,-2)</f>
        <v>0</v>
      </c>
      <c r="D12" s="110">
        <f>ROUND(Total!D12/4,-2)</f>
        <v>0</v>
      </c>
      <c r="E12" s="110">
        <f>ROUND(Total!E12/4,-2)</f>
        <v>0</v>
      </c>
      <c r="F12" s="51">
        <f>ROUND(Total!F12/4,-2)</f>
        <v>0</v>
      </c>
      <c r="G12" s="110">
        <f>ROUND(Total!G12/4,-2)</f>
        <v>0</v>
      </c>
      <c r="H12" s="129">
        <f t="shared" si="0"/>
        <v>0</v>
      </c>
      <c r="I12" s="97"/>
      <c r="J12" s="96">
        <v>5</v>
      </c>
      <c r="K12" s="124" t="s">
        <v>9</v>
      </c>
      <c r="L12" s="51">
        <f>ROUND(Total!C12/4,-2)</f>
        <v>0</v>
      </c>
      <c r="M12" s="110">
        <f>ROUND(Total!D12/4,-2)</f>
        <v>0</v>
      </c>
      <c r="N12" s="110">
        <f>ROUND(Total!E12/4,-2)</f>
        <v>0</v>
      </c>
      <c r="O12" s="51">
        <f>ROUND(Total!F12/4,-2)</f>
        <v>0</v>
      </c>
      <c r="P12" s="110">
        <f>ROUND(Total!G12/4,-2)</f>
        <v>0</v>
      </c>
      <c r="Q12" s="129">
        <f t="shared" si="1"/>
        <v>0</v>
      </c>
      <c r="R12" s="97"/>
      <c r="S12" s="96">
        <v>5</v>
      </c>
      <c r="T12" s="124" t="s">
        <v>9</v>
      </c>
      <c r="U12" s="51">
        <f>ROUND(Total!C12/4,-2)</f>
        <v>0</v>
      </c>
      <c r="V12" s="110">
        <f>ROUND(Total!D12/4,-2)</f>
        <v>0</v>
      </c>
      <c r="W12" s="110">
        <f>ROUND(Total!E12/4,-2)</f>
        <v>0</v>
      </c>
      <c r="X12" s="51">
        <f>ROUND(Total!F12/4,-2)</f>
        <v>0</v>
      </c>
      <c r="Y12" s="110">
        <f>ROUND(Total!G12/4,-2)</f>
        <v>0</v>
      </c>
      <c r="Z12" s="129">
        <f t="shared" si="2"/>
        <v>0</v>
      </c>
      <c r="AA12" s="97"/>
      <c r="AB12" s="96">
        <v>5</v>
      </c>
      <c r="AC12" s="124" t="s">
        <v>9</v>
      </c>
      <c r="AD12" s="51">
        <f>Total!C12-Auszahlungen!C12-Auszahlungen!L12-Auszahlungen!U12</f>
        <v>0</v>
      </c>
      <c r="AE12" s="110">
        <f>Total!D12-Auszahlungen!D12-Auszahlungen!M12-Auszahlungen!V12</f>
        <v>0</v>
      </c>
      <c r="AF12" s="110">
        <f>Total!E12-Auszahlungen!E12-Auszahlungen!N12-Auszahlungen!W12</f>
        <v>0</v>
      </c>
      <c r="AG12" s="51">
        <f>Total!F12-Auszahlungen!F12-Auszahlungen!O12-Auszahlungen!X12</f>
        <v>0</v>
      </c>
      <c r="AH12" s="110">
        <f>Total!G12-Auszahlungen!G12-Auszahlungen!P12-Auszahlungen!Y12</f>
        <v>0</v>
      </c>
      <c r="AI12" s="129">
        <f t="shared" si="3"/>
        <v>0</v>
      </c>
    </row>
    <row r="13" spans="1:815 1097:5554 16037:16373" x14ac:dyDescent="0.2">
      <c r="A13" s="96">
        <v>6</v>
      </c>
      <c r="B13" s="124" t="s">
        <v>10</v>
      </c>
      <c r="C13" s="51">
        <f>ROUND(Total!C13/4,-2)</f>
        <v>0</v>
      </c>
      <c r="D13" s="110">
        <f>ROUND(Total!D13/4,-2)</f>
        <v>0</v>
      </c>
      <c r="E13" s="110">
        <f>ROUND(Total!E13/4,-2)</f>
        <v>0</v>
      </c>
      <c r="F13" s="51">
        <f>ROUND(Total!F13/4,-2)</f>
        <v>54700</v>
      </c>
      <c r="G13" s="110">
        <f>ROUND(Total!G13/4,-2)</f>
        <v>0</v>
      </c>
      <c r="H13" s="129">
        <f t="shared" si="0"/>
        <v>54700</v>
      </c>
      <c r="I13" s="97"/>
      <c r="J13" s="96">
        <v>6</v>
      </c>
      <c r="K13" s="124" t="s">
        <v>10</v>
      </c>
      <c r="L13" s="51">
        <f>ROUND(Total!C13/4,-2)</f>
        <v>0</v>
      </c>
      <c r="M13" s="110">
        <f>ROUND(Total!D13/4,-2)</f>
        <v>0</v>
      </c>
      <c r="N13" s="110">
        <f>ROUND(Total!E13/4,-2)</f>
        <v>0</v>
      </c>
      <c r="O13" s="51">
        <f>ROUND(Total!F13/4,-2)</f>
        <v>54700</v>
      </c>
      <c r="P13" s="110">
        <f>ROUND(Total!G13/4,-2)</f>
        <v>0</v>
      </c>
      <c r="Q13" s="129">
        <f t="shared" si="1"/>
        <v>54700</v>
      </c>
      <c r="R13" s="97"/>
      <c r="S13" s="96">
        <v>6</v>
      </c>
      <c r="T13" s="124" t="s">
        <v>10</v>
      </c>
      <c r="U13" s="51">
        <f>ROUND(Total!C13/4,-2)</f>
        <v>0</v>
      </c>
      <c r="V13" s="110">
        <f>ROUND(Total!D13/4,-2)</f>
        <v>0</v>
      </c>
      <c r="W13" s="110">
        <f>ROUND(Total!E13/4,-2)</f>
        <v>0</v>
      </c>
      <c r="X13" s="51">
        <f>ROUND(Total!F13/4,-2)</f>
        <v>54700</v>
      </c>
      <c r="Y13" s="110">
        <f>ROUND(Total!G13/4,-2)</f>
        <v>0</v>
      </c>
      <c r="Z13" s="129">
        <f t="shared" si="2"/>
        <v>54700</v>
      </c>
      <c r="AA13" s="97"/>
      <c r="AB13" s="96">
        <v>6</v>
      </c>
      <c r="AC13" s="124" t="s">
        <v>10</v>
      </c>
      <c r="AD13" s="51">
        <f>Total!C13-Auszahlungen!C13-Auszahlungen!L13-Auszahlungen!U13</f>
        <v>0</v>
      </c>
      <c r="AE13" s="110">
        <f>Total!D13-Auszahlungen!D13-Auszahlungen!M13-Auszahlungen!V13</f>
        <v>0</v>
      </c>
      <c r="AF13" s="110">
        <f>Total!E13-Auszahlungen!E13-Auszahlungen!N13-Auszahlungen!W13</f>
        <v>0</v>
      </c>
      <c r="AG13" s="51">
        <f>Total!F13-Auszahlungen!F13-Auszahlungen!O13-Auszahlungen!X13</f>
        <v>54500</v>
      </c>
      <c r="AH13" s="110">
        <f>Total!G13-Auszahlungen!G13-Auszahlungen!P13-Auszahlungen!Y13</f>
        <v>0</v>
      </c>
      <c r="AI13" s="129">
        <f t="shared" si="3"/>
        <v>54500</v>
      </c>
    </row>
    <row r="14" spans="1:815 1097:5554 16037:16373" x14ac:dyDescent="0.2">
      <c r="A14" s="96">
        <v>7</v>
      </c>
      <c r="B14" s="124" t="s">
        <v>11</v>
      </c>
      <c r="C14" s="51">
        <f>ROUND(Total!C14/4,-2)</f>
        <v>0</v>
      </c>
      <c r="D14" s="110">
        <f>ROUND(Total!D14/4,-2)</f>
        <v>0</v>
      </c>
      <c r="E14" s="110">
        <f>ROUND(Total!E14/4,-2)</f>
        <v>0</v>
      </c>
      <c r="F14" s="51">
        <f>ROUND(Total!F14/4,-2)</f>
        <v>0</v>
      </c>
      <c r="G14" s="110">
        <f>ROUND(Total!G14/4,-2)</f>
        <v>0</v>
      </c>
      <c r="H14" s="129">
        <f t="shared" si="0"/>
        <v>0</v>
      </c>
      <c r="I14" s="97"/>
      <c r="J14" s="96">
        <v>7</v>
      </c>
      <c r="K14" s="124" t="s">
        <v>11</v>
      </c>
      <c r="L14" s="51">
        <f>ROUND(Total!C14/4,-2)</f>
        <v>0</v>
      </c>
      <c r="M14" s="110">
        <f>ROUND(Total!D14/4,-2)</f>
        <v>0</v>
      </c>
      <c r="N14" s="110">
        <f>ROUND(Total!E14/4,-2)</f>
        <v>0</v>
      </c>
      <c r="O14" s="51">
        <f>ROUND(Total!F14/4,-2)</f>
        <v>0</v>
      </c>
      <c r="P14" s="110">
        <f>ROUND(Total!G14/4,-2)</f>
        <v>0</v>
      </c>
      <c r="Q14" s="129">
        <f t="shared" si="1"/>
        <v>0</v>
      </c>
      <c r="R14" s="97"/>
      <c r="S14" s="96">
        <v>7</v>
      </c>
      <c r="T14" s="124" t="s">
        <v>11</v>
      </c>
      <c r="U14" s="51">
        <f>ROUND(Total!C14/4,-2)</f>
        <v>0</v>
      </c>
      <c r="V14" s="110">
        <f>ROUND(Total!D14/4,-2)</f>
        <v>0</v>
      </c>
      <c r="W14" s="110">
        <f>ROUND(Total!E14/4,-2)</f>
        <v>0</v>
      </c>
      <c r="X14" s="51">
        <f>ROUND(Total!F14/4,-2)</f>
        <v>0</v>
      </c>
      <c r="Y14" s="110">
        <f>ROUND(Total!G14/4,-2)</f>
        <v>0</v>
      </c>
      <c r="Z14" s="129">
        <f t="shared" si="2"/>
        <v>0</v>
      </c>
      <c r="AA14" s="97"/>
      <c r="AB14" s="96">
        <v>7</v>
      </c>
      <c r="AC14" s="124" t="s">
        <v>11</v>
      </c>
      <c r="AD14" s="51">
        <f>Total!C14-Auszahlungen!C14-Auszahlungen!L14-Auszahlungen!U14</f>
        <v>0</v>
      </c>
      <c r="AE14" s="110">
        <f>Total!D14-Auszahlungen!D14-Auszahlungen!M14-Auszahlungen!V14</f>
        <v>0</v>
      </c>
      <c r="AF14" s="110">
        <f>Total!E14-Auszahlungen!E14-Auszahlungen!N14-Auszahlungen!W14</f>
        <v>0</v>
      </c>
      <c r="AG14" s="51">
        <f>Total!F14-Auszahlungen!F14-Auszahlungen!O14-Auszahlungen!X14</f>
        <v>0</v>
      </c>
      <c r="AH14" s="110">
        <f>Total!G14-Auszahlungen!G14-Auszahlungen!P14-Auszahlungen!Y14</f>
        <v>0</v>
      </c>
      <c r="AI14" s="129">
        <f t="shared" si="3"/>
        <v>0</v>
      </c>
    </row>
    <row r="15" spans="1:815 1097:5554 16037:16373" x14ac:dyDescent="0.2">
      <c r="A15" s="96">
        <v>8</v>
      </c>
      <c r="B15" s="124" t="s">
        <v>12</v>
      </c>
      <c r="C15" s="51">
        <f>ROUND(Total!C15/4,-2)</f>
        <v>0</v>
      </c>
      <c r="D15" s="110">
        <f>ROUND(Total!D15/4,-2)</f>
        <v>6300</v>
      </c>
      <c r="E15" s="110">
        <f>ROUND(Total!E15/4,-2)</f>
        <v>4700</v>
      </c>
      <c r="F15" s="51">
        <f>ROUND(Total!F15/4,-2)</f>
        <v>200</v>
      </c>
      <c r="G15" s="110">
        <f>ROUND(Total!G15/4,-2)</f>
        <v>0</v>
      </c>
      <c r="H15" s="129">
        <f t="shared" si="0"/>
        <v>11200</v>
      </c>
      <c r="I15" s="97"/>
      <c r="J15" s="96">
        <v>8</v>
      </c>
      <c r="K15" s="124" t="s">
        <v>12</v>
      </c>
      <c r="L15" s="51">
        <f>ROUND(Total!C15/4,-2)</f>
        <v>0</v>
      </c>
      <c r="M15" s="110">
        <f>ROUND(Total!D15/4,-2)</f>
        <v>6300</v>
      </c>
      <c r="N15" s="110">
        <f>ROUND(Total!E15/4,-2)</f>
        <v>4700</v>
      </c>
      <c r="O15" s="51">
        <f>ROUND(Total!F15/4,-2)</f>
        <v>200</v>
      </c>
      <c r="P15" s="110">
        <f>ROUND(Total!G15/4,-2)</f>
        <v>0</v>
      </c>
      <c r="Q15" s="129">
        <f t="shared" si="1"/>
        <v>11200</v>
      </c>
      <c r="R15" s="97"/>
      <c r="S15" s="96">
        <v>8</v>
      </c>
      <c r="T15" s="124" t="s">
        <v>12</v>
      </c>
      <c r="U15" s="51">
        <f>ROUND(Total!C15/4,-2)</f>
        <v>0</v>
      </c>
      <c r="V15" s="110">
        <f>ROUND(Total!D15/4,-2)</f>
        <v>6300</v>
      </c>
      <c r="W15" s="110">
        <f>ROUND(Total!E15/4,-2)</f>
        <v>4700</v>
      </c>
      <c r="X15" s="51">
        <f>ROUND(Total!F15/4,-2)</f>
        <v>200</v>
      </c>
      <c r="Y15" s="110">
        <f>ROUND(Total!G15/4,-2)</f>
        <v>0</v>
      </c>
      <c r="Z15" s="129">
        <f t="shared" si="2"/>
        <v>11200</v>
      </c>
      <c r="AA15" s="97"/>
      <c r="AB15" s="96">
        <v>8</v>
      </c>
      <c r="AC15" s="124" t="s">
        <v>12</v>
      </c>
      <c r="AD15" s="51">
        <f>Total!C15-Auszahlungen!C15-Auszahlungen!L15-Auszahlungen!U15</f>
        <v>0</v>
      </c>
      <c r="AE15" s="110">
        <f>Total!D15-Auszahlungen!D15-Auszahlungen!M15-Auszahlungen!V15</f>
        <v>6100</v>
      </c>
      <c r="AF15" s="110">
        <f>Total!E15-Auszahlungen!E15-Auszahlungen!N15-Auszahlungen!W15</f>
        <v>4700</v>
      </c>
      <c r="AG15" s="51">
        <f>Total!F15-Auszahlungen!F15-Auszahlungen!O15-Auszahlungen!X15</f>
        <v>0</v>
      </c>
      <c r="AH15" s="110">
        <f>Total!G15-Auszahlungen!G15-Auszahlungen!P15-Auszahlungen!Y15</f>
        <v>0</v>
      </c>
      <c r="AI15" s="129">
        <f t="shared" si="3"/>
        <v>10800</v>
      </c>
    </row>
    <row r="16" spans="1:815 1097:5554 16037:16373" x14ac:dyDescent="0.2">
      <c r="A16" s="96">
        <v>9</v>
      </c>
      <c r="B16" s="124" t="s">
        <v>13</v>
      </c>
      <c r="C16" s="51">
        <f>ROUND(Total!C16/4,-2)</f>
        <v>0</v>
      </c>
      <c r="D16" s="110">
        <f>ROUND(Total!D16/4,-2)</f>
        <v>0</v>
      </c>
      <c r="E16" s="110">
        <f>ROUND(Total!E16/4,-2)</f>
        <v>0</v>
      </c>
      <c r="F16" s="51">
        <f>ROUND(Total!F16/4,-2)</f>
        <v>0</v>
      </c>
      <c r="G16" s="110">
        <f>ROUND(Total!G16/4,-2)</f>
        <v>0</v>
      </c>
      <c r="H16" s="129">
        <f t="shared" si="0"/>
        <v>0</v>
      </c>
      <c r="I16" s="97"/>
      <c r="J16" s="96">
        <v>9</v>
      </c>
      <c r="K16" s="124" t="s">
        <v>13</v>
      </c>
      <c r="L16" s="51">
        <f>ROUND(Total!C16/4,-2)</f>
        <v>0</v>
      </c>
      <c r="M16" s="110">
        <f>ROUND(Total!D16/4,-2)</f>
        <v>0</v>
      </c>
      <c r="N16" s="110">
        <f>ROUND(Total!E16/4,-2)</f>
        <v>0</v>
      </c>
      <c r="O16" s="51">
        <f>ROUND(Total!F16/4,-2)</f>
        <v>0</v>
      </c>
      <c r="P16" s="110">
        <f>ROUND(Total!G16/4,-2)</f>
        <v>0</v>
      </c>
      <c r="Q16" s="129">
        <f t="shared" si="1"/>
        <v>0</v>
      </c>
      <c r="R16" s="97"/>
      <c r="S16" s="96">
        <v>9</v>
      </c>
      <c r="T16" s="124" t="s">
        <v>13</v>
      </c>
      <c r="U16" s="51">
        <f>ROUND(Total!C16/4,-2)</f>
        <v>0</v>
      </c>
      <c r="V16" s="110">
        <f>ROUND(Total!D16/4,-2)</f>
        <v>0</v>
      </c>
      <c r="W16" s="110">
        <f>ROUND(Total!E16/4,-2)</f>
        <v>0</v>
      </c>
      <c r="X16" s="51">
        <f>ROUND(Total!F16/4,-2)</f>
        <v>0</v>
      </c>
      <c r="Y16" s="110">
        <f>ROUND(Total!G16/4,-2)</f>
        <v>0</v>
      </c>
      <c r="Z16" s="129">
        <f t="shared" si="2"/>
        <v>0</v>
      </c>
      <c r="AA16" s="97"/>
      <c r="AB16" s="96">
        <v>9</v>
      </c>
      <c r="AC16" s="124" t="s">
        <v>13</v>
      </c>
      <c r="AD16" s="51">
        <f>Total!C16-Auszahlungen!C16-Auszahlungen!L16-Auszahlungen!U16</f>
        <v>0</v>
      </c>
      <c r="AE16" s="110">
        <f>Total!D16-Auszahlungen!D16-Auszahlungen!M16-Auszahlungen!V16</f>
        <v>0</v>
      </c>
      <c r="AF16" s="110">
        <f>Total!E16-Auszahlungen!E16-Auszahlungen!N16-Auszahlungen!W16</f>
        <v>0</v>
      </c>
      <c r="AG16" s="51">
        <f>Total!F16-Auszahlungen!F16-Auszahlungen!O16-Auszahlungen!X16</f>
        <v>0</v>
      </c>
      <c r="AH16" s="110">
        <f>Total!G16-Auszahlungen!G16-Auszahlungen!P16-Auszahlungen!Y16</f>
        <v>0</v>
      </c>
      <c r="AI16" s="129">
        <f t="shared" si="3"/>
        <v>0</v>
      </c>
    </row>
    <row r="17" spans="1:35" x14ac:dyDescent="0.2">
      <c r="A17" s="96">
        <v>10</v>
      </c>
      <c r="B17" s="124" t="s">
        <v>14</v>
      </c>
      <c r="C17" s="51">
        <f>ROUND(Total!C17/4,-2)</f>
        <v>38800</v>
      </c>
      <c r="D17" s="110">
        <f>ROUND(Total!D17/4,-2)</f>
        <v>74200</v>
      </c>
      <c r="E17" s="110">
        <f>ROUND(Total!E17/4,-2)</f>
        <v>70800</v>
      </c>
      <c r="F17" s="51">
        <f>ROUND(Total!F17/4,-2)</f>
        <v>0</v>
      </c>
      <c r="G17" s="110">
        <f>ROUND(Total!G17/4,-2)</f>
        <v>0</v>
      </c>
      <c r="H17" s="129">
        <f t="shared" si="0"/>
        <v>183800</v>
      </c>
      <c r="I17" s="97"/>
      <c r="J17" s="96">
        <v>10</v>
      </c>
      <c r="K17" s="124" t="s">
        <v>14</v>
      </c>
      <c r="L17" s="51">
        <f>ROUND(Total!C17/4,-2)</f>
        <v>38800</v>
      </c>
      <c r="M17" s="110">
        <f>ROUND(Total!D17/4,-2)</f>
        <v>74200</v>
      </c>
      <c r="N17" s="110">
        <f>ROUND(Total!E17/4,-2)</f>
        <v>70800</v>
      </c>
      <c r="O17" s="51">
        <f>ROUND(Total!F17/4,-2)</f>
        <v>0</v>
      </c>
      <c r="P17" s="110">
        <f>ROUND(Total!G17/4,-2)</f>
        <v>0</v>
      </c>
      <c r="Q17" s="129">
        <f t="shared" si="1"/>
        <v>183800</v>
      </c>
      <c r="R17" s="97"/>
      <c r="S17" s="96">
        <v>10</v>
      </c>
      <c r="T17" s="124" t="s">
        <v>14</v>
      </c>
      <c r="U17" s="51">
        <f>ROUND(Total!C17/4,-2)</f>
        <v>38800</v>
      </c>
      <c r="V17" s="110">
        <f>ROUND(Total!D17/4,-2)</f>
        <v>74200</v>
      </c>
      <c r="W17" s="110">
        <f>ROUND(Total!E17/4,-2)</f>
        <v>70800</v>
      </c>
      <c r="X17" s="51">
        <f>ROUND(Total!F17/4,-2)</f>
        <v>0</v>
      </c>
      <c r="Y17" s="110">
        <f>ROUND(Total!G17/4,-2)</f>
        <v>0</v>
      </c>
      <c r="Z17" s="129">
        <f t="shared" si="2"/>
        <v>183800</v>
      </c>
      <c r="AA17" s="97"/>
      <c r="AB17" s="96">
        <v>10</v>
      </c>
      <c r="AC17" s="124" t="s">
        <v>14</v>
      </c>
      <c r="AD17" s="51">
        <f>Total!C17-Auszahlungen!C17-Auszahlungen!L17-Auszahlungen!U17</f>
        <v>38800</v>
      </c>
      <c r="AE17" s="110">
        <f>Total!D17-Auszahlungen!D17-Auszahlungen!M17-Auszahlungen!V17</f>
        <v>74200</v>
      </c>
      <c r="AF17" s="110">
        <f>Total!E17-Auszahlungen!E17-Auszahlungen!N17-Auszahlungen!W17</f>
        <v>70800</v>
      </c>
      <c r="AG17" s="51">
        <f>Total!F17-Auszahlungen!F17-Auszahlungen!O17-Auszahlungen!X17</f>
        <v>0</v>
      </c>
      <c r="AH17" s="110">
        <f>Total!G17-Auszahlungen!G17-Auszahlungen!P17-Auszahlungen!Y17</f>
        <v>0</v>
      </c>
      <c r="AI17" s="129">
        <f t="shared" si="3"/>
        <v>183800</v>
      </c>
    </row>
    <row r="18" spans="1:35" x14ac:dyDescent="0.2">
      <c r="A18" s="96">
        <v>11</v>
      </c>
      <c r="B18" s="124" t="s">
        <v>15</v>
      </c>
      <c r="C18" s="51">
        <f>ROUND(Total!C18/4,-2)</f>
        <v>223700</v>
      </c>
      <c r="D18" s="110">
        <f>ROUND(Total!D18/4,-2)</f>
        <v>160100</v>
      </c>
      <c r="E18" s="110">
        <f>ROUND(Total!E18/4,-2)</f>
        <v>150000</v>
      </c>
      <c r="F18" s="51">
        <f>ROUND(Total!F18/4,-2)</f>
        <v>0</v>
      </c>
      <c r="G18" s="110">
        <f>ROUND(Total!G18/4,-2)</f>
        <v>0</v>
      </c>
      <c r="H18" s="129">
        <f t="shared" si="0"/>
        <v>533800</v>
      </c>
      <c r="I18" s="97"/>
      <c r="J18" s="96">
        <v>11</v>
      </c>
      <c r="K18" s="124" t="s">
        <v>15</v>
      </c>
      <c r="L18" s="51">
        <f>ROUND(Total!C18/4,-2)</f>
        <v>223700</v>
      </c>
      <c r="M18" s="110">
        <f>ROUND(Total!D18/4,-2)</f>
        <v>160100</v>
      </c>
      <c r="N18" s="110">
        <f>ROUND(Total!E18/4,-2)</f>
        <v>150000</v>
      </c>
      <c r="O18" s="51">
        <f>ROUND(Total!F18/4,-2)</f>
        <v>0</v>
      </c>
      <c r="P18" s="110">
        <f>ROUND(Total!G18/4,-2)</f>
        <v>0</v>
      </c>
      <c r="Q18" s="129">
        <f t="shared" si="1"/>
        <v>533800</v>
      </c>
      <c r="R18" s="97"/>
      <c r="S18" s="96">
        <v>11</v>
      </c>
      <c r="T18" s="124" t="s">
        <v>15</v>
      </c>
      <c r="U18" s="51">
        <f>ROUND(Total!C18/4,-2)</f>
        <v>223700</v>
      </c>
      <c r="V18" s="110">
        <f>ROUND(Total!D18/4,-2)</f>
        <v>160100</v>
      </c>
      <c r="W18" s="110">
        <f>ROUND(Total!E18/4,-2)</f>
        <v>150000</v>
      </c>
      <c r="X18" s="51">
        <f>ROUND(Total!F18/4,-2)</f>
        <v>0</v>
      </c>
      <c r="Y18" s="110">
        <f>ROUND(Total!G18/4,-2)</f>
        <v>0</v>
      </c>
      <c r="Z18" s="129">
        <f t="shared" si="2"/>
        <v>533800</v>
      </c>
      <c r="AA18" s="97"/>
      <c r="AB18" s="96">
        <v>11</v>
      </c>
      <c r="AC18" s="124" t="s">
        <v>15</v>
      </c>
      <c r="AD18" s="51">
        <f>Total!C18-Auszahlungen!C18-Auszahlungen!L18-Auszahlungen!U18</f>
        <v>223500</v>
      </c>
      <c r="AE18" s="110">
        <f>Total!D18-Auszahlungen!D18-Auszahlungen!M18-Auszahlungen!V18</f>
        <v>160100</v>
      </c>
      <c r="AF18" s="110">
        <f>Total!E18-Auszahlungen!E18-Auszahlungen!N18-Auszahlungen!W18</f>
        <v>149800</v>
      </c>
      <c r="AG18" s="51">
        <f>Total!F18-Auszahlungen!F18-Auszahlungen!O18-Auszahlungen!X18</f>
        <v>0</v>
      </c>
      <c r="AH18" s="110">
        <f>Total!G18-Auszahlungen!G18-Auszahlungen!P18-Auszahlungen!Y18</f>
        <v>0</v>
      </c>
      <c r="AI18" s="129">
        <f t="shared" si="3"/>
        <v>533400</v>
      </c>
    </row>
    <row r="19" spans="1:35" x14ac:dyDescent="0.2">
      <c r="A19" s="96">
        <v>12</v>
      </c>
      <c r="B19" s="124" t="s">
        <v>16</v>
      </c>
      <c r="C19" s="51">
        <f>ROUND(Total!C19/4,-2)</f>
        <v>0</v>
      </c>
      <c r="D19" s="110">
        <f>ROUND(Total!D19/4,-2)</f>
        <v>0</v>
      </c>
      <c r="E19" s="110">
        <f>ROUND(Total!E19/4,-2)</f>
        <v>0</v>
      </c>
      <c r="F19" s="51">
        <f>ROUND(Total!F19/4,-2)</f>
        <v>29800</v>
      </c>
      <c r="G19" s="110">
        <f>ROUND(Total!G19/4,-2)</f>
        <v>0</v>
      </c>
      <c r="H19" s="129">
        <f t="shared" si="0"/>
        <v>29800</v>
      </c>
      <c r="I19" s="97"/>
      <c r="J19" s="96">
        <v>12</v>
      </c>
      <c r="K19" s="124" t="s">
        <v>16</v>
      </c>
      <c r="L19" s="51">
        <f>ROUND(Total!C19/4,-2)</f>
        <v>0</v>
      </c>
      <c r="M19" s="110">
        <f>ROUND(Total!D19/4,-2)</f>
        <v>0</v>
      </c>
      <c r="N19" s="110">
        <f>ROUND(Total!E19/4,-2)</f>
        <v>0</v>
      </c>
      <c r="O19" s="51">
        <f>ROUND(Total!F19/4,-2)</f>
        <v>29800</v>
      </c>
      <c r="P19" s="110">
        <f>ROUND(Total!G19/4,-2)</f>
        <v>0</v>
      </c>
      <c r="Q19" s="129">
        <f t="shared" si="1"/>
        <v>29800</v>
      </c>
      <c r="R19" s="97"/>
      <c r="S19" s="96">
        <v>12</v>
      </c>
      <c r="T19" s="124" t="s">
        <v>16</v>
      </c>
      <c r="U19" s="51">
        <f>ROUND(Total!C19/4,-2)</f>
        <v>0</v>
      </c>
      <c r="V19" s="110">
        <f>ROUND(Total!D19/4,-2)</f>
        <v>0</v>
      </c>
      <c r="W19" s="110">
        <f>ROUND(Total!E19/4,-2)</f>
        <v>0</v>
      </c>
      <c r="X19" s="51">
        <f>ROUND(Total!F19/4,-2)</f>
        <v>29800</v>
      </c>
      <c r="Y19" s="110">
        <f>ROUND(Total!G19/4,-2)</f>
        <v>0</v>
      </c>
      <c r="Z19" s="129">
        <f t="shared" si="2"/>
        <v>29800</v>
      </c>
      <c r="AA19" s="97"/>
      <c r="AB19" s="96">
        <v>12</v>
      </c>
      <c r="AC19" s="124" t="s">
        <v>16</v>
      </c>
      <c r="AD19" s="51">
        <f>Total!C19-Auszahlungen!C19-Auszahlungen!L19-Auszahlungen!U19</f>
        <v>0</v>
      </c>
      <c r="AE19" s="110">
        <f>Total!D19-Auszahlungen!D19-Auszahlungen!M19-Auszahlungen!V19</f>
        <v>0</v>
      </c>
      <c r="AF19" s="110">
        <f>Total!E19-Auszahlungen!E19-Auszahlungen!N19-Auszahlungen!W19</f>
        <v>0</v>
      </c>
      <c r="AG19" s="51">
        <f>Total!F19-Auszahlungen!F19-Auszahlungen!O19-Auszahlungen!X19</f>
        <v>29900</v>
      </c>
      <c r="AH19" s="110">
        <f>Total!G19-Auszahlungen!G19-Auszahlungen!P19-Auszahlungen!Y19</f>
        <v>0</v>
      </c>
      <c r="AI19" s="129">
        <f t="shared" si="3"/>
        <v>29900</v>
      </c>
    </row>
    <row r="20" spans="1:35" x14ac:dyDescent="0.2">
      <c r="A20" s="96">
        <v>13</v>
      </c>
      <c r="B20" s="124" t="s">
        <v>17</v>
      </c>
      <c r="C20" s="51">
        <f>ROUND(Total!C20/4,-2)</f>
        <v>1118200</v>
      </c>
      <c r="D20" s="110">
        <f>ROUND(Total!D20/4,-2)</f>
        <v>0</v>
      </c>
      <c r="E20" s="110">
        <f>ROUND(Total!E20/4,-2)</f>
        <v>0</v>
      </c>
      <c r="F20" s="51">
        <f>ROUND(Total!F20/4,-2)</f>
        <v>316000</v>
      </c>
      <c r="G20" s="110">
        <f>ROUND(Total!G20/4,-2)</f>
        <v>0</v>
      </c>
      <c r="H20" s="129">
        <f t="shared" si="0"/>
        <v>1434200</v>
      </c>
      <c r="I20" s="97"/>
      <c r="J20" s="96">
        <v>13</v>
      </c>
      <c r="K20" s="124" t="s">
        <v>17</v>
      </c>
      <c r="L20" s="51">
        <f>ROUND(Total!C20/4,-2)</f>
        <v>1118200</v>
      </c>
      <c r="M20" s="110">
        <f>ROUND(Total!D20/4,-2)</f>
        <v>0</v>
      </c>
      <c r="N20" s="110">
        <f>ROUND(Total!E20/4,-2)</f>
        <v>0</v>
      </c>
      <c r="O20" s="51">
        <f>ROUND(Total!F20/4,-2)</f>
        <v>316000</v>
      </c>
      <c r="P20" s="110">
        <f>ROUND(Total!G20/4,-2)</f>
        <v>0</v>
      </c>
      <c r="Q20" s="129">
        <f t="shared" si="1"/>
        <v>1434200</v>
      </c>
      <c r="R20" s="97"/>
      <c r="S20" s="96">
        <v>13</v>
      </c>
      <c r="T20" s="124" t="s">
        <v>17</v>
      </c>
      <c r="U20" s="51">
        <f>ROUND(Total!C20/4,-2)</f>
        <v>1118200</v>
      </c>
      <c r="V20" s="110">
        <f>ROUND(Total!D20/4,-2)</f>
        <v>0</v>
      </c>
      <c r="W20" s="110">
        <f>ROUND(Total!E20/4,-2)</f>
        <v>0</v>
      </c>
      <c r="X20" s="51">
        <f>ROUND(Total!F20/4,-2)</f>
        <v>316000</v>
      </c>
      <c r="Y20" s="110">
        <f>ROUND(Total!G20/4,-2)</f>
        <v>0</v>
      </c>
      <c r="Z20" s="129">
        <f t="shared" si="2"/>
        <v>1434200</v>
      </c>
      <c r="AA20" s="97"/>
      <c r="AB20" s="96">
        <v>13</v>
      </c>
      <c r="AC20" s="124" t="s">
        <v>17</v>
      </c>
      <c r="AD20" s="51">
        <f>Total!C20-Auszahlungen!C20-Auszahlungen!L20-Auszahlungen!U20</f>
        <v>1118100</v>
      </c>
      <c r="AE20" s="110">
        <f>Total!D20-Auszahlungen!D20-Auszahlungen!M20-Auszahlungen!V20</f>
        <v>0</v>
      </c>
      <c r="AF20" s="110">
        <f>Total!E20-Auszahlungen!E20-Auszahlungen!N20-Auszahlungen!W20</f>
        <v>0</v>
      </c>
      <c r="AG20" s="51">
        <f>Total!F20-Auszahlungen!F20-Auszahlungen!O20-Auszahlungen!X20</f>
        <v>315800</v>
      </c>
      <c r="AH20" s="110">
        <f>Total!G20-Auszahlungen!G20-Auszahlungen!P20-Auszahlungen!Y20</f>
        <v>0</v>
      </c>
      <c r="AI20" s="129">
        <f t="shared" si="3"/>
        <v>1433900</v>
      </c>
    </row>
    <row r="21" spans="1:35" x14ac:dyDescent="0.2">
      <c r="A21" s="96">
        <v>14</v>
      </c>
      <c r="B21" s="124" t="s">
        <v>18</v>
      </c>
      <c r="C21" s="51">
        <f>ROUND(Total!C21/4,-2)</f>
        <v>0</v>
      </c>
      <c r="D21" s="110">
        <f>ROUND(Total!D21/4,-2)</f>
        <v>0</v>
      </c>
      <c r="E21" s="110">
        <f>ROUND(Total!E21/4,-2)</f>
        <v>0</v>
      </c>
      <c r="F21" s="51">
        <f>ROUND(Total!F21/4,-2)</f>
        <v>0</v>
      </c>
      <c r="G21" s="110">
        <f>ROUND(Total!G21/4,-2)</f>
        <v>0</v>
      </c>
      <c r="H21" s="129">
        <f t="shared" si="0"/>
        <v>0</v>
      </c>
      <c r="I21" s="97"/>
      <c r="J21" s="96">
        <v>14</v>
      </c>
      <c r="K21" s="124" t="s">
        <v>18</v>
      </c>
      <c r="L21" s="51">
        <f>ROUND(Total!C21/4,-2)</f>
        <v>0</v>
      </c>
      <c r="M21" s="110">
        <f>ROUND(Total!D21/4,-2)</f>
        <v>0</v>
      </c>
      <c r="N21" s="110">
        <f>ROUND(Total!E21/4,-2)</f>
        <v>0</v>
      </c>
      <c r="O21" s="51">
        <f>ROUND(Total!F21/4,-2)</f>
        <v>0</v>
      </c>
      <c r="P21" s="110">
        <f>ROUND(Total!G21/4,-2)</f>
        <v>0</v>
      </c>
      <c r="Q21" s="129">
        <f t="shared" si="1"/>
        <v>0</v>
      </c>
      <c r="R21" s="97"/>
      <c r="S21" s="96">
        <v>14</v>
      </c>
      <c r="T21" s="124" t="s">
        <v>18</v>
      </c>
      <c r="U21" s="51">
        <f>ROUND(Total!C21/4,-2)</f>
        <v>0</v>
      </c>
      <c r="V21" s="110">
        <f>ROUND(Total!D21/4,-2)</f>
        <v>0</v>
      </c>
      <c r="W21" s="110">
        <f>ROUND(Total!E21/4,-2)</f>
        <v>0</v>
      </c>
      <c r="X21" s="51">
        <f>ROUND(Total!F21/4,-2)</f>
        <v>0</v>
      </c>
      <c r="Y21" s="110">
        <f>ROUND(Total!G21/4,-2)</f>
        <v>0</v>
      </c>
      <c r="Z21" s="129">
        <f t="shared" si="2"/>
        <v>0</v>
      </c>
      <c r="AA21" s="97"/>
      <c r="AB21" s="96">
        <v>14</v>
      </c>
      <c r="AC21" s="124" t="s">
        <v>18</v>
      </c>
      <c r="AD21" s="51">
        <f>Total!C21-Auszahlungen!C21-Auszahlungen!L21-Auszahlungen!U21</f>
        <v>0</v>
      </c>
      <c r="AE21" s="110">
        <f>Total!D21-Auszahlungen!D21-Auszahlungen!M21-Auszahlungen!V21</f>
        <v>0</v>
      </c>
      <c r="AF21" s="110">
        <f>Total!E21-Auszahlungen!E21-Auszahlungen!N21-Auszahlungen!W21</f>
        <v>0</v>
      </c>
      <c r="AG21" s="51">
        <f>Total!F21-Auszahlungen!F21-Auszahlungen!O21-Auszahlungen!X21</f>
        <v>0</v>
      </c>
      <c r="AH21" s="110">
        <f>Total!G21-Auszahlungen!G21-Auszahlungen!P21-Auszahlungen!Y21</f>
        <v>0</v>
      </c>
      <c r="AI21" s="129">
        <f t="shared" si="3"/>
        <v>0</v>
      </c>
    </row>
    <row r="22" spans="1:35" x14ac:dyDescent="0.2">
      <c r="A22" s="96">
        <v>15</v>
      </c>
      <c r="B22" s="124" t="s">
        <v>19</v>
      </c>
      <c r="C22" s="51">
        <f>ROUND(Total!C22/4,-2)</f>
        <v>203900</v>
      </c>
      <c r="D22" s="110">
        <f>ROUND(Total!D22/4,-2)</f>
        <v>0</v>
      </c>
      <c r="E22" s="110">
        <f>ROUND(Total!E22/4,-2)</f>
        <v>0</v>
      </c>
      <c r="F22" s="51">
        <f>ROUND(Total!F22/4,-2)</f>
        <v>58600</v>
      </c>
      <c r="G22" s="110">
        <f>ROUND(Total!G22/4,-2)</f>
        <v>0</v>
      </c>
      <c r="H22" s="129">
        <f t="shared" si="0"/>
        <v>262500</v>
      </c>
      <c r="I22" s="97"/>
      <c r="J22" s="96">
        <v>15</v>
      </c>
      <c r="K22" s="124" t="s">
        <v>19</v>
      </c>
      <c r="L22" s="51">
        <f>ROUND(Total!C22/4,-2)</f>
        <v>203900</v>
      </c>
      <c r="M22" s="110">
        <f>ROUND(Total!D22/4,-2)</f>
        <v>0</v>
      </c>
      <c r="N22" s="110">
        <f>ROUND(Total!E22/4,-2)</f>
        <v>0</v>
      </c>
      <c r="O22" s="51">
        <f>ROUND(Total!F22/4,-2)</f>
        <v>58600</v>
      </c>
      <c r="P22" s="110">
        <f>ROUND(Total!G22/4,-2)</f>
        <v>0</v>
      </c>
      <c r="Q22" s="129">
        <f t="shared" si="1"/>
        <v>262500</v>
      </c>
      <c r="R22" s="97"/>
      <c r="S22" s="96">
        <v>15</v>
      </c>
      <c r="T22" s="124" t="s">
        <v>19</v>
      </c>
      <c r="U22" s="51">
        <f>ROUND(Total!C22/4,-2)</f>
        <v>203900</v>
      </c>
      <c r="V22" s="110">
        <f>ROUND(Total!D22/4,-2)</f>
        <v>0</v>
      </c>
      <c r="W22" s="110">
        <f>ROUND(Total!E22/4,-2)</f>
        <v>0</v>
      </c>
      <c r="X22" s="51">
        <f>ROUND(Total!F22/4,-2)</f>
        <v>58600</v>
      </c>
      <c r="Y22" s="110">
        <f>ROUND(Total!G22/4,-2)</f>
        <v>0</v>
      </c>
      <c r="Z22" s="129">
        <f t="shared" si="2"/>
        <v>262500</v>
      </c>
      <c r="AA22" s="97"/>
      <c r="AB22" s="96">
        <v>15</v>
      </c>
      <c r="AC22" s="124" t="s">
        <v>19</v>
      </c>
      <c r="AD22" s="51">
        <f>Total!C22-Auszahlungen!C22-Auszahlungen!L22-Auszahlungen!U22</f>
        <v>203700</v>
      </c>
      <c r="AE22" s="110">
        <f>Total!D22-Auszahlungen!D22-Auszahlungen!M22-Auszahlungen!V22</f>
        <v>0</v>
      </c>
      <c r="AF22" s="110">
        <f>Total!E22-Auszahlungen!E22-Auszahlungen!N22-Auszahlungen!W22</f>
        <v>0</v>
      </c>
      <c r="AG22" s="51">
        <f>Total!F22-Auszahlungen!F22-Auszahlungen!O22-Auszahlungen!X22</f>
        <v>58500</v>
      </c>
      <c r="AH22" s="110">
        <f>Total!G22-Auszahlungen!G22-Auszahlungen!P22-Auszahlungen!Y22</f>
        <v>0</v>
      </c>
      <c r="AI22" s="129">
        <f t="shared" si="3"/>
        <v>262200</v>
      </c>
    </row>
    <row r="23" spans="1:35" x14ac:dyDescent="0.2">
      <c r="A23" s="96">
        <v>16</v>
      </c>
      <c r="B23" s="124" t="s">
        <v>20</v>
      </c>
      <c r="C23" s="51">
        <f>ROUND(Total!C23/4,-2)</f>
        <v>451900</v>
      </c>
      <c r="D23" s="110">
        <f>ROUND(Total!D23/4,-2)</f>
        <v>0</v>
      </c>
      <c r="E23" s="110">
        <f>ROUND(Total!E23/4,-2)</f>
        <v>1900</v>
      </c>
      <c r="F23" s="51">
        <f>ROUND(Total!F23/4,-2)</f>
        <v>62000</v>
      </c>
      <c r="G23" s="110">
        <f>ROUND(Total!G23/4,-2)</f>
        <v>0</v>
      </c>
      <c r="H23" s="129">
        <f t="shared" si="0"/>
        <v>515800</v>
      </c>
      <c r="I23" s="97"/>
      <c r="J23" s="96">
        <v>16</v>
      </c>
      <c r="K23" s="124" t="s">
        <v>20</v>
      </c>
      <c r="L23" s="51">
        <f>ROUND(Total!C23/4,-2)</f>
        <v>451900</v>
      </c>
      <c r="M23" s="110">
        <f>ROUND(Total!D23/4,-2)</f>
        <v>0</v>
      </c>
      <c r="N23" s="110">
        <f>ROUND(Total!E23/4,-2)</f>
        <v>1900</v>
      </c>
      <c r="O23" s="51">
        <f>ROUND(Total!F23/4,-2)</f>
        <v>62000</v>
      </c>
      <c r="P23" s="110">
        <f>ROUND(Total!G23/4,-2)</f>
        <v>0</v>
      </c>
      <c r="Q23" s="129">
        <f t="shared" si="1"/>
        <v>515800</v>
      </c>
      <c r="R23" s="97"/>
      <c r="S23" s="96">
        <v>16</v>
      </c>
      <c r="T23" s="124" t="s">
        <v>20</v>
      </c>
      <c r="U23" s="51">
        <f>ROUND(Total!C23/4,-2)</f>
        <v>451900</v>
      </c>
      <c r="V23" s="110">
        <f>ROUND(Total!D23/4,-2)</f>
        <v>0</v>
      </c>
      <c r="W23" s="110">
        <f>ROUND(Total!E23/4,-2)</f>
        <v>1900</v>
      </c>
      <c r="X23" s="51">
        <f>ROUND(Total!F23/4,-2)</f>
        <v>62000</v>
      </c>
      <c r="Y23" s="110">
        <f>ROUND(Total!G23/4,-2)</f>
        <v>0</v>
      </c>
      <c r="Z23" s="129">
        <f t="shared" si="2"/>
        <v>515800</v>
      </c>
      <c r="AA23" s="97"/>
      <c r="AB23" s="96">
        <v>16</v>
      </c>
      <c r="AC23" s="124" t="s">
        <v>20</v>
      </c>
      <c r="AD23" s="51">
        <f>Total!C23-Auszahlungen!C23-Auszahlungen!L23-Auszahlungen!U23</f>
        <v>451700</v>
      </c>
      <c r="AE23" s="110">
        <f>Total!D23-Auszahlungen!D23-Auszahlungen!M23-Auszahlungen!V23</f>
        <v>0</v>
      </c>
      <c r="AF23" s="110">
        <f>Total!E23-Auszahlungen!E23-Auszahlungen!N23-Auszahlungen!W23</f>
        <v>1800</v>
      </c>
      <c r="AG23" s="51">
        <f>Total!F23-Auszahlungen!F23-Auszahlungen!O23-Auszahlungen!X23</f>
        <v>61900</v>
      </c>
      <c r="AH23" s="110">
        <f>Total!G23-Auszahlungen!G23-Auszahlungen!P23-Auszahlungen!Y23</f>
        <v>0</v>
      </c>
      <c r="AI23" s="129">
        <f t="shared" si="3"/>
        <v>515400</v>
      </c>
    </row>
    <row r="24" spans="1:35" x14ac:dyDescent="0.2">
      <c r="A24" s="96">
        <v>17</v>
      </c>
      <c r="B24" s="124" t="s">
        <v>21</v>
      </c>
      <c r="C24" s="51">
        <f>ROUND(Total!C24/4,-2)</f>
        <v>0</v>
      </c>
      <c r="D24" s="110">
        <f>ROUND(Total!D24/4,-2)</f>
        <v>0</v>
      </c>
      <c r="E24" s="110">
        <f>ROUND(Total!E24/4,-2)</f>
        <v>0</v>
      </c>
      <c r="F24" s="51">
        <f>ROUND(Total!F24/4,-2)</f>
        <v>77600</v>
      </c>
      <c r="G24" s="110">
        <f>ROUND(Total!G24/4,-2)</f>
        <v>0</v>
      </c>
      <c r="H24" s="129">
        <f t="shared" si="0"/>
        <v>77600</v>
      </c>
      <c r="I24" s="97"/>
      <c r="J24" s="96">
        <v>17</v>
      </c>
      <c r="K24" s="124" t="s">
        <v>21</v>
      </c>
      <c r="L24" s="51">
        <f>ROUND(Total!C24/4,-2)</f>
        <v>0</v>
      </c>
      <c r="M24" s="110">
        <f>ROUND(Total!D24/4,-2)</f>
        <v>0</v>
      </c>
      <c r="N24" s="110">
        <f>ROUND(Total!E24/4,-2)</f>
        <v>0</v>
      </c>
      <c r="O24" s="51">
        <f>ROUND(Total!F24/4,-2)</f>
        <v>77600</v>
      </c>
      <c r="P24" s="110">
        <f>ROUND(Total!G24/4,-2)</f>
        <v>0</v>
      </c>
      <c r="Q24" s="129">
        <f t="shared" si="1"/>
        <v>77600</v>
      </c>
      <c r="R24" s="97"/>
      <c r="S24" s="96">
        <v>17</v>
      </c>
      <c r="T24" s="124" t="s">
        <v>21</v>
      </c>
      <c r="U24" s="51">
        <f>ROUND(Total!C24/4,-2)</f>
        <v>0</v>
      </c>
      <c r="V24" s="110">
        <f>ROUND(Total!D24/4,-2)</f>
        <v>0</v>
      </c>
      <c r="W24" s="110">
        <f>ROUND(Total!E24/4,-2)</f>
        <v>0</v>
      </c>
      <c r="X24" s="51">
        <f>ROUND(Total!F24/4,-2)</f>
        <v>77600</v>
      </c>
      <c r="Y24" s="110">
        <f>ROUND(Total!G24/4,-2)</f>
        <v>0</v>
      </c>
      <c r="Z24" s="129">
        <f t="shared" si="2"/>
        <v>77600</v>
      </c>
      <c r="AA24" s="97"/>
      <c r="AB24" s="96">
        <v>17</v>
      </c>
      <c r="AC24" s="124" t="s">
        <v>21</v>
      </c>
      <c r="AD24" s="51">
        <f>Total!C24-Auszahlungen!C24-Auszahlungen!L24-Auszahlungen!U24</f>
        <v>0</v>
      </c>
      <c r="AE24" s="110">
        <f>Total!D24-Auszahlungen!D24-Auszahlungen!M24-Auszahlungen!V24</f>
        <v>0</v>
      </c>
      <c r="AF24" s="110">
        <f>Total!E24-Auszahlungen!E24-Auszahlungen!N24-Auszahlungen!W24</f>
        <v>0</v>
      </c>
      <c r="AG24" s="51">
        <f>Total!F24-Auszahlungen!F24-Auszahlungen!O24-Auszahlungen!X24</f>
        <v>77400</v>
      </c>
      <c r="AH24" s="110">
        <f>Total!G24-Auszahlungen!G24-Auszahlungen!P24-Auszahlungen!Y24</f>
        <v>0</v>
      </c>
      <c r="AI24" s="129">
        <f t="shared" si="3"/>
        <v>77400</v>
      </c>
    </row>
    <row r="25" spans="1:35" x14ac:dyDescent="0.2">
      <c r="A25" s="96">
        <v>18</v>
      </c>
      <c r="B25" s="124" t="s">
        <v>22</v>
      </c>
      <c r="C25" s="51">
        <f>ROUND(Total!C25/4,-2)</f>
        <v>0</v>
      </c>
      <c r="D25" s="110">
        <f>ROUND(Total!D25/4,-2)</f>
        <v>0</v>
      </c>
      <c r="E25" s="110">
        <f>ROUND(Total!E25/4,-2)</f>
        <v>200</v>
      </c>
      <c r="F25" s="51">
        <f>ROUND(Total!F25/4,-2)</f>
        <v>29500</v>
      </c>
      <c r="G25" s="110">
        <f>ROUND(Total!G25/4,-2)</f>
        <v>0</v>
      </c>
      <c r="H25" s="129">
        <f t="shared" si="0"/>
        <v>29700</v>
      </c>
      <c r="I25" s="97"/>
      <c r="J25" s="96">
        <v>18</v>
      </c>
      <c r="K25" s="124" t="s">
        <v>22</v>
      </c>
      <c r="L25" s="51">
        <f>ROUND(Total!C25/4,-2)</f>
        <v>0</v>
      </c>
      <c r="M25" s="110">
        <f>ROUND(Total!D25/4,-2)</f>
        <v>0</v>
      </c>
      <c r="N25" s="110">
        <f>ROUND(Total!E25/4,-2)</f>
        <v>200</v>
      </c>
      <c r="O25" s="51">
        <f>ROUND(Total!F25/4,-2)</f>
        <v>29500</v>
      </c>
      <c r="P25" s="110">
        <f>ROUND(Total!G25/4,-2)</f>
        <v>0</v>
      </c>
      <c r="Q25" s="129">
        <f t="shared" si="1"/>
        <v>29700</v>
      </c>
      <c r="R25" s="97"/>
      <c r="S25" s="96">
        <v>18</v>
      </c>
      <c r="T25" s="124" t="s">
        <v>22</v>
      </c>
      <c r="U25" s="51">
        <f>ROUND(Total!C25/4,-2)</f>
        <v>0</v>
      </c>
      <c r="V25" s="110">
        <f>ROUND(Total!D25/4,-2)</f>
        <v>0</v>
      </c>
      <c r="W25" s="110">
        <f>ROUND(Total!E25/4,-2)</f>
        <v>200</v>
      </c>
      <c r="X25" s="51">
        <f>ROUND(Total!F25/4,-2)</f>
        <v>29500</v>
      </c>
      <c r="Y25" s="110">
        <f>ROUND(Total!G25/4,-2)</f>
        <v>0</v>
      </c>
      <c r="Z25" s="129">
        <f t="shared" si="2"/>
        <v>29700</v>
      </c>
      <c r="AA25" s="97"/>
      <c r="AB25" s="96">
        <v>18</v>
      </c>
      <c r="AC25" s="124" t="s">
        <v>22</v>
      </c>
      <c r="AD25" s="51">
        <f>Total!C25-Auszahlungen!C25-Auszahlungen!L25-Auszahlungen!U25</f>
        <v>0</v>
      </c>
      <c r="AE25" s="110">
        <f>Total!D25-Auszahlungen!D25-Auszahlungen!M25-Auszahlungen!V25</f>
        <v>0</v>
      </c>
      <c r="AF25" s="110">
        <f>Total!E25-Auszahlungen!E25-Auszahlungen!N25-Auszahlungen!W25</f>
        <v>300</v>
      </c>
      <c r="AG25" s="51">
        <f>Total!F25-Auszahlungen!F25-Auszahlungen!O25-Auszahlungen!X25</f>
        <v>29300</v>
      </c>
      <c r="AH25" s="110">
        <f>Total!G25-Auszahlungen!G25-Auszahlungen!P25-Auszahlungen!Y25</f>
        <v>0</v>
      </c>
      <c r="AI25" s="129">
        <f t="shared" si="3"/>
        <v>29600</v>
      </c>
    </row>
    <row r="26" spans="1:35" x14ac:dyDescent="0.2">
      <c r="A26" s="96">
        <v>19</v>
      </c>
      <c r="B26" s="124" t="s">
        <v>23</v>
      </c>
      <c r="C26" s="51">
        <f>ROUND(Total!C26/4,-2)</f>
        <v>0</v>
      </c>
      <c r="D26" s="110">
        <f>ROUND(Total!D26/4,-2)</f>
        <v>0</v>
      </c>
      <c r="E26" s="110">
        <f>ROUND(Total!E26/4,-2)</f>
        <v>0</v>
      </c>
      <c r="F26" s="51">
        <f>ROUND(Total!F26/4,-2)</f>
        <v>0</v>
      </c>
      <c r="G26" s="110">
        <f>ROUND(Total!G26/4,-2)</f>
        <v>0</v>
      </c>
      <c r="H26" s="129">
        <f t="shared" si="0"/>
        <v>0</v>
      </c>
      <c r="I26" s="97"/>
      <c r="J26" s="96">
        <v>19</v>
      </c>
      <c r="K26" s="124" t="s">
        <v>23</v>
      </c>
      <c r="L26" s="51">
        <f>ROUND(Total!C26/4,-2)</f>
        <v>0</v>
      </c>
      <c r="M26" s="110">
        <f>ROUND(Total!D26/4,-2)</f>
        <v>0</v>
      </c>
      <c r="N26" s="110">
        <f>ROUND(Total!E26/4,-2)</f>
        <v>0</v>
      </c>
      <c r="O26" s="51">
        <f>ROUND(Total!F26/4,-2)</f>
        <v>0</v>
      </c>
      <c r="P26" s="110">
        <f>ROUND(Total!G26/4,-2)</f>
        <v>0</v>
      </c>
      <c r="Q26" s="129">
        <f t="shared" si="1"/>
        <v>0</v>
      </c>
      <c r="R26" s="97"/>
      <c r="S26" s="96">
        <v>19</v>
      </c>
      <c r="T26" s="124" t="s">
        <v>23</v>
      </c>
      <c r="U26" s="51">
        <f>ROUND(Total!C26/4,-2)</f>
        <v>0</v>
      </c>
      <c r="V26" s="110">
        <f>ROUND(Total!D26/4,-2)</f>
        <v>0</v>
      </c>
      <c r="W26" s="110">
        <f>ROUND(Total!E26/4,-2)</f>
        <v>0</v>
      </c>
      <c r="X26" s="51">
        <f>ROUND(Total!F26/4,-2)</f>
        <v>0</v>
      </c>
      <c r="Y26" s="110">
        <f>ROUND(Total!G26/4,-2)</f>
        <v>0</v>
      </c>
      <c r="Z26" s="129">
        <f t="shared" si="2"/>
        <v>0</v>
      </c>
      <c r="AA26" s="97"/>
      <c r="AB26" s="96">
        <v>19</v>
      </c>
      <c r="AC26" s="124" t="s">
        <v>23</v>
      </c>
      <c r="AD26" s="51">
        <f>Total!C26-Auszahlungen!C26-Auszahlungen!L26-Auszahlungen!U26</f>
        <v>0</v>
      </c>
      <c r="AE26" s="110">
        <f>Total!D26-Auszahlungen!D26-Auszahlungen!M26-Auszahlungen!V26</f>
        <v>0</v>
      </c>
      <c r="AF26" s="110">
        <f>Total!E26-Auszahlungen!E26-Auszahlungen!N26-Auszahlungen!W26</f>
        <v>0</v>
      </c>
      <c r="AG26" s="51">
        <f>Total!F26-Auszahlungen!F26-Auszahlungen!O26-Auszahlungen!X26</f>
        <v>0</v>
      </c>
      <c r="AH26" s="110">
        <f>Total!G26-Auszahlungen!G26-Auszahlungen!P26-Auszahlungen!Y26</f>
        <v>0</v>
      </c>
      <c r="AI26" s="129">
        <f t="shared" si="3"/>
        <v>0</v>
      </c>
    </row>
    <row r="27" spans="1:35" x14ac:dyDescent="0.2">
      <c r="A27" s="96">
        <v>20</v>
      </c>
      <c r="B27" s="124" t="s">
        <v>24</v>
      </c>
      <c r="C27" s="51">
        <f>ROUND(Total!C27/4,-2)</f>
        <v>0</v>
      </c>
      <c r="D27" s="110">
        <f>ROUND(Total!D27/4,-2)</f>
        <v>0</v>
      </c>
      <c r="E27" s="110">
        <f>ROUND(Total!E27/4,-2)</f>
        <v>13800</v>
      </c>
      <c r="F27" s="51">
        <f>ROUND(Total!F27/4,-2)</f>
        <v>0</v>
      </c>
      <c r="G27" s="110">
        <f>ROUND(Total!G27/4,-2)</f>
        <v>0</v>
      </c>
      <c r="H27" s="129">
        <f t="shared" si="0"/>
        <v>13800</v>
      </c>
      <c r="I27" s="97"/>
      <c r="J27" s="96">
        <v>20</v>
      </c>
      <c r="K27" s="124" t="s">
        <v>24</v>
      </c>
      <c r="L27" s="51">
        <f>ROUND(Total!C27/4,-2)</f>
        <v>0</v>
      </c>
      <c r="M27" s="110">
        <f>ROUND(Total!D27/4,-2)</f>
        <v>0</v>
      </c>
      <c r="N27" s="110">
        <f>ROUND(Total!E27/4,-2)</f>
        <v>13800</v>
      </c>
      <c r="O27" s="51">
        <f>ROUND(Total!F27/4,-2)</f>
        <v>0</v>
      </c>
      <c r="P27" s="110">
        <f>ROUND(Total!G27/4,-2)</f>
        <v>0</v>
      </c>
      <c r="Q27" s="129">
        <f t="shared" si="1"/>
        <v>13800</v>
      </c>
      <c r="R27" s="97"/>
      <c r="S27" s="96">
        <v>20</v>
      </c>
      <c r="T27" s="124" t="s">
        <v>24</v>
      </c>
      <c r="U27" s="51">
        <f>ROUND(Total!C27/4,-2)</f>
        <v>0</v>
      </c>
      <c r="V27" s="110">
        <f>ROUND(Total!D27/4,-2)</f>
        <v>0</v>
      </c>
      <c r="W27" s="110">
        <f>ROUND(Total!E27/4,-2)</f>
        <v>13800</v>
      </c>
      <c r="X27" s="51">
        <f>ROUND(Total!F27/4,-2)</f>
        <v>0</v>
      </c>
      <c r="Y27" s="110">
        <f>ROUND(Total!G27/4,-2)</f>
        <v>0</v>
      </c>
      <c r="Z27" s="129">
        <f t="shared" si="2"/>
        <v>13800</v>
      </c>
      <c r="AA27" s="97"/>
      <c r="AB27" s="96">
        <v>20</v>
      </c>
      <c r="AC27" s="124" t="s">
        <v>24</v>
      </c>
      <c r="AD27" s="51">
        <f>Total!C27-Auszahlungen!C27-Auszahlungen!L27-Auszahlungen!U27</f>
        <v>0</v>
      </c>
      <c r="AE27" s="110">
        <f>Total!D27-Auszahlungen!D27-Auszahlungen!M27-Auszahlungen!V27</f>
        <v>0</v>
      </c>
      <c r="AF27" s="110">
        <f>Total!E27-Auszahlungen!E27-Auszahlungen!N27-Auszahlungen!W27</f>
        <v>13700</v>
      </c>
      <c r="AG27" s="51">
        <f>Total!F27-Auszahlungen!F27-Auszahlungen!O27-Auszahlungen!X27</f>
        <v>0</v>
      </c>
      <c r="AH27" s="110">
        <f>Total!G27-Auszahlungen!G27-Auszahlungen!P27-Auszahlungen!Y27</f>
        <v>0</v>
      </c>
      <c r="AI27" s="129">
        <f t="shared" si="3"/>
        <v>13700</v>
      </c>
    </row>
    <row r="28" spans="1:35" x14ac:dyDescent="0.2">
      <c r="A28" s="96">
        <v>21</v>
      </c>
      <c r="B28" s="124" t="s">
        <v>25</v>
      </c>
      <c r="C28" s="51">
        <f>ROUND(Total!C28/4,-2)</f>
        <v>0</v>
      </c>
      <c r="D28" s="110">
        <f>ROUND(Total!D28/4,-2)</f>
        <v>0</v>
      </c>
      <c r="E28" s="110">
        <f>ROUND(Total!E28/4,-2)</f>
        <v>35600</v>
      </c>
      <c r="F28" s="51">
        <f>ROUND(Total!F28/4,-2)</f>
        <v>0</v>
      </c>
      <c r="G28" s="110">
        <f>ROUND(Total!G28/4,-2)</f>
        <v>0</v>
      </c>
      <c r="H28" s="129">
        <f t="shared" si="0"/>
        <v>35600</v>
      </c>
      <c r="I28" s="97"/>
      <c r="J28" s="96">
        <v>21</v>
      </c>
      <c r="K28" s="124" t="s">
        <v>25</v>
      </c>
      <c r="L28" s="51">
        <f>ROUND(Total!C28/4,-2)</f>
        <v>0</v>
      </c>
      <c r="M28" s="110">
        <f>ROUND(Total!D28/4,-2)</f>
        <v>0</v>
      </c>
      <c r="N28" s="110">
        <f>ROUND(Total!E28/4,-2)</f>
        <v>35600</v>
      </c>
      <c r="O28" s="51">
        <f>ROUND(Total!F28/4,-2)</f>
        <v>0</v>
      </c>
      <c r="P28" s="110">
        <f>ROUND(Total!G28/4,-2)</f>
        <v>0</v>
      </c>
      <c r="Q28" s="129">
        <f t="shared" si="1"/>
        <v>35600</v>
      </c>
      <c r="R28" s="97"/>
      <c r="S28" s="96">
        <v>21</v>
      </c>
      <c r="T28" s="124" t="s">
        <v>25</v>
      </c>
      <c r="U28" s="51">
        <f>ROUND(Total!C28/4,-2)</f>
        <v>0</v>
      </c>
      <c r="V28" s="110">
        <f>ROUND(Total!D28/4,-2)</f>
        <v>0</v>
      </c>
      <c r="W28" s="110">
        <f>ROUND(Total!E28/4,-2)</f>
        <v>35600</v>
      </c>
      <c r="X28" s="51">
        <f>ROUND(Total!F28/4,-2)</f>
        <v>0</v>
      </c>
      <c r="Y28" s="110">
        <f>ROUND(Total!G28/4,-2)</f>
        <v>0</v>
      </c>
      <c r="Z28" s="129">
        <f t="shared" si="2"/>
        <v>35600</v>
      </c>
      <c r="AA28" s="97"/>
      <c r="AB28" s="96">
        <v>21</v>
      </c>
      <c r="AC28" s="124" t="s">
        <v>25</v>
      </c>
      <c r="AD28" s="51">
        <f>Total!C28-Auszahlungen!C28-Auszahlungen!L28-Auszahlungen!U28</f>
        <v>0</v>
      </c>
      <c r="AE28" s="110">
        <f>Total!D28-Auszahlungen!D28-Auszahlungen!M28-Auszahlungen!V28</f>
        <v>0</v>
      </c>
      <c r="AF28" s="110">
        <f>Total!E28-Auszahlungen!E28-Auszahlungen!N28-Auszahlungen!W28</f>
        <v>35500</v>
      </c>
      <c r="AG28" s="51">
        <f>Total!F28-Auszahlungen!F28-Auszahlungen!O28-Auszahlungen!X28</f>
        <v>0</v>
      </c>
      <c r="AH28" s="110">
        <f>Total!G28-Auszahlungen!G28-Auszahlungen!P28-Auszahlungen!Y28</f>
        <v>0</v>
      </c>
      <c r="AI28" s="129">
        <f t="shared" si="3"/>
        <v>35500</v>
      </c>
    </row>
    <row r="29" spans="1:35" x14ac:dyDescent="0.2">
      <c r="A29" s="96">
        <v>22</v>
      </c>
      <c r="B29" s="124" t="s">
        <v>26</v>
      </c>
      <c r="C29" s="51">
        <f>ROUND(Total!C29/4,-2)</f>
        <v>0</v>
      </c>
      <c r="D29" s="110">
        <f>ROUND(Total!D29/4,-2)</f>
        <v>0</v>
      </c>
      <c r="E29" s="110">
        <f>ROUND(Total!E29/4,-2)</f>
        <v>0</v>
      </c>
      <c r="F29" s="51">
        <f>ROUND(Total!F29/4,-2)</f>
        <v>13800</v>
      </c>
      <c r="G29" s="110">
        <f>ROUND(Total!G29/4,-2)</f>
        <v>0</v>
      </c>
      <c r="H29" s="129">
        <f t="shared" si="0"/>
        <v>13800</v>
      </c>
      <c r="I29" s="97"/>
      <c r="J29" s="96">
        <v>22</v>
      </c>
      <c r="K29" s="124" t="s">
        <v>26</v>
      </c>
      <c r="L29" s="51">
        <f>ROUND(Total!C29/4,-2)</f>
        <v>0</v>
      </c>
      <c r="M29" s="110">
        <f>ROUND(Total!D29/4,-2)</f>
        <v>0</v>
      </c>
      <c r="N29" s="110">
        <f>ROUND(Total!E29/4,-2)</f>
        <v>0</v>
      </c>
      <c r="O29" s="51">
        <f>ROUND(Total!F29/4,-2)</f>
        <v>13800</v>
      </c>
      <c r="P29" s="110">
        <f>ROUND(Total!G29/4,-2)</f>
        <v>0</v>
      </c>
      <c r="Q29" s="129">
        <f t="shared" si="1"/>
        <v>13800</v>
      </c>
      <c r="R29" s="97"/>
      <c r="S29" s="96">
        <v>22</v>
      </c>
      <c r="T29" s="124" t="s">
        <v>26</v>
      </c>
      <c r="U29" s="51">
        <f>ROUND(Total!C29/4,-2)</f>
        <v>0</v>
      </c>
      <c r="V29" s="110">
        <f>ROUND(Total!D29/4,-2)</f>
        <v>0</v>
      </c>
      <c r="W29" s="110">
        <f>ROUND(Total!E29/4,-2)</f>
        <v>0</v>
      </c>
      <c r="X29" s="51">
        <f>ROUND(Total!F29/4,-2)</f>
        <v>13800</v>
      </c>
      <c r="Y29" s="110">
        <f>ROUND(Total!G29/4,-2)</f>
        <v>0</v>
      </c>
      <c r="Z29" s="129">
        <f t="shared" si="2"/>
        <v>13800</v>
      </c>
      <c r="AA29" s="97"/>
      <c r="AB29" s="96">
        <v>22</v>
      </c>
      <c r="AC29" s="124" t="s">
        <v>26</v>
      </c>
      <c r="AD29" s="51">
        <f>Total!C29-Auszahlungen!C29-Auszahlungen!L29-Auszahlungen!U29</f>
        <v>0</v>
      </c>
      <c r="AE29" s="110">
        <f>Total!D29-Auszahlungen!D29-Auszahlungen!M29-Auszahlungen!V29</f>
        <v>0</v>
      </c>
      <c r="AF29" s="110">
        <f>Total!E29-Auszahlungen!E29-Auszahlungen!N29-Auszahlungen!W29</f>
        <v>0</v>
      </c>
      <c r="AG29" s="51">
        <f>Total!F29-Auszahlungen!F29-Auszahlungen!O29-Auszahlungen!X29</f>
        <v>13600</v>
      </c>
      <c r="AH29" s="110">
        <f>Total!G29-Auszahlungen!G29-Auszahlungen!P29-Auszahlungen!Y29</f>
        <v>0</v>
      </c>
      <c r="AI29" s="129">
        <f t="shared" si="3"/>
        <v>13600</v>
      </c>
    </row>
    <row r="30" spans="1:35" x14ac:dyDescent="0.2">
      <c r="A30" s="96">
        <v>23</v>
      </c>
      <c r="B30" s="124" t="s">
        <v>27</v>
      </c>
      <c r="C30" s="51">
        <f>ROUND(Total!C30/4,-2)</f>
        <v>178400</v>
      </c>
      <c r="D30" s="110">
        <f>ROUND(Total!D30/4,-2)</f>
        <v>35100</v>
      </c>
      <c r="E30" s="110">
        <f>ROUND(Total!E30/4,-2)</f>
        <v>0</v>
      </c>
      <c r="F30" s="51">
        <f>ROUND(Total!F30/4,-2)</f>
        <v>0</v>
      </c>
      <c r="G30" s="110">
        <f>ROUND(Total!G30/4,-2)</f>
        <v>0</v>
      </c>
      <c r="H30" s="129">
        <f t="shared" si="0"/>
        <v>213500</v>
      </c>
      <c r="I30" s="97"/>
      <c r="J30" s="96">
        <v>23</v>
      </c>
      <c r="K30" s="124" t="s">
        <v>27</v>
      </c>
      <c r="L30" s="51">
        <f>ROUND(Total!C30/4,-2)</f>
        <v>178400</v>
      </c>
      <c r="M30" s="110">
        <f>ROUND(Total!D30/4,-2)</f>
        <v>35100</v>
      </c>
      <c r="N30" s="110">
        <f>ROUND(Total!E30/4,-2)</f>
        <v>0</v>
      </c>
      <c r="O30" s="51">
        <f>ROUND(Total!F30/4,-2)</f>
        <v>0</v>
      </c>
      <c r="P30" s="110">
        <f>ROUND(Total!G30/4,-2)</f>
        <v>0</v>
      </c>
      <c r="Q30" s="129">
        <f t="shared" si="1"/>
        <v>213500</v>
      </c>
      <c r="R30" s="97"/>
      <c r="S30" s="96">
        <v>23</v>
      </c>
      <c r="T30" s="124" t="s">
        <v>27</v>
      </c>
      <c r="U30" s="51">
        <f>ROUND(Total!C30/4,-2)</f>
        <v>178400</v>
      </c>
      <c r="V30" s="110">
        <f>ROUND(Total!D30/4,-2)</f>
        <v>35100</v>
      </c>
      <c r="W30" s="110">
        <f>ROUND(Total!E30/4,-2)</f>
        <v>0</v>
      </c>
      <c r="X30" s="51">
        <f>ROUND(Total!F30/4,-2)</f>
        <v>0</v>
      </c>
      <c r="Y30" s="110">
        <f>ROUND(Total!G30/4,-2)</f>
        <v>0</v>
      </c>
      <c r="Z30" s="129">
        <f t="shared" si="2"/>
        <v>213500</v>
      </c>
      <c r="AA30" s="97"/>
      <c r="AB30" s="96">
        <v>23</v>
      </c>
      <c r="AC30" s="124" t="s">
        <v>27</v>
      </c>
      <c r="AD30" s="51">
        <f>Total!C30-Auszahlungen!C30-Auszahlungen!L30-Auszahlungen!U30</f>
        <v>178500</v>
      </c>
      <c r="AE30" s="110">
        <f>Total!D30-Auszahlungen!D30-Auszahlungen!M30-Auszahlungen!V30</f>
        <v>34900</v>
      </c>
      <c r="AF30" s="110">
        <f>Total!E30-Auszahlungen!E30-Auszahlungen!N30-Auszahlungen!W30</f>
        <v>0</v>
      </c>
      <c r="AG30" s="51">
        <f>Total!F30-Auszahlungen!F30-Auszahlungen!O30-Auszahlungen!X30</f>
        <v>0</v>
      </c>
      <c r="AH30" s="110">
        <f>Total!G30-Auszahlungen!G30-Auszahlungen!P30-Auszahlungen!Y30</f>
        <v>0</v>
      </c>
      <c r="AI30" s="129">
        <f t="shared" si="3"/>
        <v>213400</v>
      </c>
    </row>
    <row r="31" spans="1:35" x14ac:dyDescent="0.2">
      <c r="A31" s="96">
        <v>24</v>
      </c>
      <c r="B31" s="124" t="s">
        <v>28</v>
      </c>
      <c r="C31" s="51">
        <f>ROUND(Total!C31/4,-2)</f>
        <v>0</v>
      </c>
      <c r="D31" s="110">
        <f>ROUND(Total!D31/4,-2)</f>
        <v>267500</v>
      </c>
      <c r="E31" s="110">
        <f>ROUND(Total!E31/4,-2)</f>
        <v>0</v>
      </c>
      <c r="F31" s="51">
        <f>ROUND(Total!F31/4,-2)</f>
        <v>24700</v>
      </c>
      <c r="G31" s="110">
        <f>ROUND(Total!G31/4,-2)</f>
        <v>0</v>
      </c>
      <c r="H31" s="129">
        <f t="shared" si="0"/>
        <v>292200</v>
      </c>
      <c r="I31" s="97"/>
      <c r="J31" s="96">
        <v>24</v>
      </c>
      <c r="K31" s="124" t="s">
        <v>28</v>
      </c>
      <c r="L31" s="51">
        <f>ROUND(Total!C31/4,-2)</f>
        <v>0</v>
      </c>
      <c r="M31" s="110">
        <f>ROUND(Total!D31/4,-2)</f>
        <v>267500</v>
      </c>
      <c r="N31" s="110">
        <f>ROUND(Total!E31/4,-2)</f>
        <v>0</v>
      </c>
      <c r="O31" s="51">
        <f>ROUND(Total!F31/4,-2)</f>
        <v>24700</v>
      </c>
      <c r="P31" s="110">
        <f>ROUND(Total!G31/4,-2)</f>
        <v>0</v>
      </c>
      <c r="Q31" s="129">
        <f t="shared" si="1"/>
        <v>292200</v>
      </c>
      <c r="R31" s="97"/>
      <c r="S31" s="96">
        <v>24</v>
      </c>
      <c r="T31" s="124" t="s">
        <v>28</v>
      </c>
      <c r="U31" s="51">
        <f>ROUND(Total!C31/4,-2)</f>
        <v>0</v>
      </c>
      <c r="V31" s="110">
        <f>ROUND(Total!D31/4,-2)</f>
        <v>267500</v>
      </c>
      <c r="W31" s="110">
        <f>ROUND(Total!E31/4,-2)</f>
        <v>0</v>
      </c>
      <c r="X31" s="51">
        <f>ROUND(Total!F31/4,-2)</f>
        <v>24700</v>
      </c>
      <c r="Y31" s="110">
        <f>ROUND(Total!G31/4,-2)</f>
        <v>0</v>
      </c>
      <c r="Z31" s="129">
        <f t="shared" si="2"/>
        <v>292200</v>
      </c>
      <c r="AA31" s="97"/>
      <c r="AB31" s="96">
        <v>24</v>
      </c>
      <c r="AC31" s="124" t="s">
        <v>28</v>
      </c>
      <c r="AD31" s="51">
        <f>Total!C31-Auszahlungen!C31-Auszahlungen!L31-Auszahlungen!U31</f>
        <v>0</v>
      </c>
      <c r="AE31" s="110">
        <f>Total!D31-Auszahlungen!D31-Auszahlungen!M31-Auszahlungen!V31</f>
        <v>267400</v>
      </c>
      <c r="AF31" s="110">
        <f>Total!E31-Auszahlungen!E31-Auszahlungen!N31-Auszahlungen!W31</f>
        <v>0</v>
      </c>
      <c r="AG31" s="51">
        <f>Total!F31-Auszahlungen!F31-Auszahlungen!O31-Auszahlungen!X31</f>
        <v>24500</v>
      </c>
      <c r="AH31" s="110">
        <f>Total!G31-Auszahlungen!G31-Auszahlungen!P31-Auszahlungen!Y31</f>
        <v>0</v>
      </c>
      <c r="AI31" s="129">
        <f t="shared" si="3"/>
        <v>291900</v>
      </c>
    </row>
    <row r="32" spans="1:35" x14ac:dyDescent="0.2">
      <c r="A32" s="96">
        <v>25</v>
      </c>
      <c r="B32" s="124" t="s">
        <v>29</v>
      </c>
      <c r="C32" s="51">
        <f>ROUND(Total!C32/4,-2)</f>
        <v>202500</v>
      </c>
      <c r="D32" s="110">
        <f>ROUND(Total!D32/4,-2)</f>
        <v>60200</v>
      </c>
      <c r="E32" s="110">
        <f>ROUND(Total!E32/4,-2)</f>
        <v>60200</v>
      </c>
      <c r="F32" s="51">
        <f>ROUND(Total!F32/4,-2)</f>
        <v>0</v>
      </c>
      <c r="G32" s="110">
        <f>ROUND(Total!G32/4,-2)</f>
        <v>0</v>
      </c>
      <c r="H32" s="129">
        <f t="shared" si="0"/>
        <v>322900</v>
      </c>
      <c r="I32" s="97"/>
      <c r="J32" s="96">
        <v>25</v>
      </c>
      <c r="K32" s="124" t="s">
        <v>29</v>
      </c>
      <c r="L32" s="51">
        <f>ROUND(Total!C32/4,-2)</f>
        <v>202500</v>
      </c>
      <c r="M32" s="110">
        <f>ROUND(Total!D32/4,-2)</f>
        <v>60200</v>
      </c>
      <c r="N32" s="110">
        <f>ROUND(Total!E32/4,-2)</f>
        <v>60200</v>
      </c>
      <c r="O32" s="51">
        <f>ROUND(Total!F32/4,-2)</f>
        <v>0</v>
      </c>
      <c r="P32" s="110">
        <f>ROUND(Total!G32/4,-2)</f>
        <v>0</v>
      </c>
      <c r="Q32" s="129">
        <f t="shared" si="1"/>
        <v>322900</v>
      </c>
      <c r="R32" s="97"/>
      <c r="S32" s="96">
        <v>25</v>
      </c>
      <c r="T32" s="124" t="s">
        <v>29</v>
      </c>
      <c r="U32" s="51">
        <f>ROUND(Total!C32/4,-2)</f>
        <v>202500</v>
      </c>
      <c r="V32" s="110">
        <f>ROUND(Total!D32/4,-2)</f>
        <v>60200</v>
      </c>
      <c r="W32" s="110">
        <f>ROUND(Total!E32/4,-2)</f>
        <v>60200</v>
      </c>
      <c r="X32" s="51">
        <f>ROUND(Total!F32/4,-2)</f>
        <v>0</v>
      </c>
      <c r="Y32" s="110">
        <f>ROUND(Total!G32/4,-2)</f>
        <v>0</v>
      </c>
      <c r="Z32" s="129">
        <f t="shared" si="2"/>
        <v>322900</v>
      </c>
      <c r="AA32" s="97"/>
      <c r="AB32" s="96">
        <v>25</v>
      </c>
      <c r="AC32" s="124" t="s">
        <v>29</v>
      </c>
      <c r="AD32" s="51">
        <f>Total!C32-Auszahlungen!C32-Auszahlungen!L32-Auszahlungen!U32</f>
        <v>202300</v>
      </c>
      <c r="AE32" s="110">
        <f>Total!D32-Auszahlungen!D32-Auszahlungen!M32-Auszahlungen!V32</f>
        <v>60100</v>
      </c>
      <c r="AF32" s="110">
        <f>Total!E32-Auszahlungen!E32-Auszahlungen!N32-Auszahlungen!W32</f>
        <v>60100</v>
      </c>
      <c r="AG32" s="51">
        <f>Total!F32-Auszahlungen!F32-Auszahlungen!O32-Auszahlungen!X32</f>
        <v>0</v>
      </c>
      <c r="AH32" s="110">
        <f>Total!G32-Auszahlungen!G32-Auszahlungen!P32-Auszahlungen!Y32</f>
        <v>0</v>
      </c>
      <c r="AI32" s="129">
        <f t="shared" si="3"/>
        <v>322500</v>
      </c>
    </row>
    <row r="33" spans="1:35" x14ac:dyDescent="0.2">
      <c r="A33" s="96">
        <v>26</v>
      </c>
      <c r="B33" s="124" t="s">
        <v>30</v>
      </c>
      <c r="C33" s="51">
        <f>ROUND(Total!C33/4,-2)</f>
        <v>516200</v>
      </c>
      <c r="D33" s="110">
        <f>ROUND(Total!D33/4,-2)</f>
        <v>371800</v>
      </c>
      <c r="E33" s="110">
        <f>ROUND(Total!E33/4,-2)</f>
        <v>250000</v>
      </c>
      <c r="F33" s="51">
        <f>ROUND(Total!F33/4,-2)</f>
        <v>0</v>
      </c>
      <c r="G33" s="110">
        <f>ROUND(Total!G33/4,-2)</f>
        <v>0</v>
      </c>
      <c r="H33" s="129">
        <f t="shared" si="0"/>
        <v>1138000</v>
      </c>
      <c r="I33" s="97"/>
      <c r="J33" s="96">
        <v>26</v>
      </c>
      <c r="K33" s="124" t="s">
        <v>30</v>
      </c>
      <c r="L33" s="51">
        <f>ROUND(Total!C33/4,-2)</f>
        <v>516200</v>
      </c>
      <c r="M33" s="110">
        <f>ROUND(Total!D33/4,-2)</f>
        <v>371800</v>
      </c>
      <c r="N33" s="110">
        <f>ROUND(Total!E33/4,-2)</f>
        <v>250000</v>
      </c>
      <c r="O33" s="51">
        <f>ROUND(Total!F33/4,-2)</f>
        <v>0</v>
      </c>
      <c r="P33" s="110">
        <f>ROUND(Total!G33/4,-2)</f>
        <v>0</v>
      </c>
      <c r="Q33" s="129">
        <f t="shared" si="1"/>
        <v>1138000</v>
      </c>
      <c r="R33" s="97"/>
      <c r="S33" s="96">
        <v>26</v>
      </c>
      <c r="T33" s="124" t="s">
        <v>30</v>
      </c>
      <c r="U33" s="51">
        <f>ROUND(Total!C33/4,-2)</f>
        <v>516200</v>
      </c>
      <c r="V33" s="110">
        <f>ROUND(Total!D33/4,-2)</f>
        <v>371800</v>
      </c>
      <c r="W33" s="110">
        <f>ROUND(Total!E33/4,-2)</f>
        <v>250000</v>
      </c>
      <c r="X33" s="51">
        <f>ROUND(Total!F33/4,-2)</f>
        <v>0</v>
      </c>
      <c r="Y33" s="110">
        <f>ROUND(Total!G33/4,-2)</f>
        <v>0</v>
      </c>
      <c r="Z33" s="129">
        <f t="shared" si="2"/>
        <v>1138000</v>
      </c>
      <c r="AA33" s="97"/>
      <c r="AB33" s="96">
        <v>26</v>
      </c>
      <c r="AC33" s="124" t="s">
        <v>30</v>
      </c>
      <c r="AD33" s="51">
        <f>Total!C33-Auszahlungen!C33-Auszahlungen!L33-Auszahlungen!U33</f>
        <v>516100</v>
      </c>
      <c r="AE33" s="110">
        <f>Total!D33-Auszahlungen!D33-Auszahlungen!M33-Auszahlungen!V33</f>
        <v>371600</v>
      </c>
      <c r="AF33" s="110">
        <f>Total!E33-Auszahlungen!E33-Auszahlungen!N33-Auszahlungen!W33</f>
        <v>250100</v>
      </c>
      <c r="AG33" s="51">
        <f>Total!F33-Auszahlungen!F33-Auszahlungen!O33-Auszahlungen!X33</f>
        <v>0</v>
      </c>
      <c r="AH33" s="110">
        <f>Total!G33-Auszahlungen!G33-Auszahlungen!P33-Auszahlungen!Y33</f>
        <v>0</v>
      </c>
      <c r="AI33" s="129">
        <f t="shared" si="3"/>
        <v>1137800</v>
      </c>
    </row>
    <row r="34" spans="1:35" x14ac:dyDescent="0.2">
      <c r="A34" s="96">
        <v>27</v>
      </c>
      <c r="B34" s="124" t="s">
        <v>31</v>
      </c>
      <c r="C34" s="51">
        <f>ROUND(Total!C34/4,-2)</f>
        <v>302800</v>
      </c>
      <c r="D34" s="110">
        <f>ROUND(Total!D34/4,-2)</f>
        <v>66800</v>
      </c>
      <c r="E34" s="110">
        <f>ROUND(Total!E34/4,-2)</f>
        <v>135500</v>
      </c>
      <c r="F34" s="51">
        <f>ROUND(Total!F34/4,-2)</f>
        <v>0</v>
      </c>
      <c r="G34" s="110">
        <f>ROUND(Total!G34/4,-2)</f>
        <v>0</v>
      </c>
      <c r="H34" s="129">
        <f t="shared" si="0"/>
        <v>505100</v>
      </c>
      <c r="I34" s="97"/>
      <c r="J34" s="96">
        <v>27</v>
      </c>
      <c r="K34" s="124" t="s">
        <v>31</v>
      </c>
      <c r="L34" s="51">
        <f>ROUND(Total!C34/4,-2)</f>
        <v>302800</v>
      </c>
      <c r="M34" s="110">
        <f>ROUND(Total!D34/4,-2)</f>
        <v>66800</v>
      </c>
      <c r="N34" s="110">
        <f>ROUND(Total!E34/4,-2)</f>
        <v>135500</v>
      </c>
      <c r="O34" s="51">
        <f>ROUND(Total!F34/4,-2)</f>
        <v>0</v>
      </c>
      <c r="P34" s="110">
        <f>ROUND(Total!G34/4,-2)</f>
        <v>0</v>
      </c>
      <c r="Q34" s="129">
        <f t="shared" si="1"/>
        <v>505100</v>
      </c>
      <c r="R34" s="97"/>
      <c r="S34" s="96">
        <v>27</v>
      </c>
      <c r="T34" s="124" t="s">
        <v>31</v>
      </c>
      <c r="U34" s="51">
        <f>ROUND(Total!C34/4,-2)</f>
        <v>302800</v>
      </c>
      <c r="V34" s="110">
        <f>ROUND(Total!D34/4,-2)</f>
        <v>66800</v>
      </c>
      <c r="W34" s="110">
        <f>ROUND(Total!E34/4,-2)</f>
        <v>135500</v>
      </c>
      <c r="X34" s="51">
        <f>ROUND(Total!F34/4,-2)</f>
        <v>0</v>
      </c>
      <c r="Y34" s="110">
        <f>ROUND(Total!G34/4,-2)</f>
        <v>0</v>
      </c>
      <c r="Z34" s="129">
        <f t="shared" si="2"/>
        <v>505100</v>
      </c>
      <c r="AA34" s="97"/>
      <c r="AB34" s="96">
        <v>27</v>
      </c>
      <c r="AC34" s="124" t="s">
        <v>31</v>
      </c>
      <c r="AD34" s="51">
        <f>Total!C34-Auszahlungen!C34-Auszahlungen!L34-Auszahlungen!U34</f>
        <v>302800</v>
      </c>
      <c r="AE34" s="110">
        <f>Total!D34-Auszahlungen!D34-Auszahlungen!M34-Auszahlungen!V34</f>
        <v>66900</v>
      </c>
      <c r="AF34" s="110">
        <f>Total!E34-Auszahlungen!E34-Auszahlungen!N34-Auszahlungen!W34</f>
        <v>135500</v>
      </c>
      <c r="AG34" s="51">
        <f>Total!F34-Auszahlungen!F34-Auszahlungen!O34-Auszahlungen!X34</f>
        <v>0</v>
      </c>
      <c r="AH34" s="110">
        <f>Total!G34-Auszahlungen!G34-Auszahlungen!P34-Auszahlungen!Y34</f>
        <v>0</v>
      </c>
      <c r="AI34" s="129">
        <f t="shared" si="3"/>
        <v>505200</v>
      </c>
    </row>
    <row r="35" spans="1:35" x14ac:dyDescent="0.2">
      <c r="A35" s="96">
        <v>28</v>
      </c>
      <c r="B35" s="124" t="s">
        <v>32</v>
      </c>
      <c r="C35" s="51">
        <f>ROUND(Total!C35/4,-2)</f>
        <v>0</v>
      </c>
      <c r="D35" s="110">
        <f>ROUND(Total!D35/4,-2)</f>
        <v>3300</v>
      </c>
      <c r="E35" s="110">
        <f>ROUND(Total!E35/4,-2)</f>
        <v>0</v>
      </c>
      <c r="F35" s="51">
        <f>ROUND(Total!F35/4,-2)</f>
        <v>0</v>
      </c>
      <c r="G35" s="110">
        <f>ROUND(Total!G35/4,-2)</f>
        <v>0</v>
      </c>
      <c r="H35" s="129">
        <f t="shared" si="0"/>
        <v>3300</v>
      </c>
      <c r="I35" s="97"/>
      <c r="J35" s="96">
        <v>28</v>
      </c>
      <c r="K35" s="124" t="s">
        <v>32</v>
      </c>
      <c r="L35" s="51">
        <f>ROUND(Total!C35/4,-2)</f>
        <v>0</v>
      </c>
      <c r="M35" s="110">
        <f>ROUND(Total!D35/4,-2)</f>
        <v>3300</v>
      </c>
      <c r="N35" s="110">
        <f>ROUND(Total!E35/4,-2)</f>
        <v>0</v>
      </c>
      <c r="O35" s="51">
        <f>ROUND(Total!F35/4,-2)</f>
        <v>0</v>
      </c>
      <c r="P35" s="110">
        <f>ROUND(Total!G35/4,-2)</f>
        <v>0</v>
      </c>
      <c r="Q35" s="129">
        <f t="shared" si="1"/>
        <v>3300</v>
      </c>
      <c r="R35" s="97"/>
      <c r="S35" s="96">
        <v>28</v>
      </c>
      <c r="T35" s="124" t="s">
        <v>32</v>
      </c>
      <c r="U35" s="51">
        <f>ROUND(Total!C35/4,-2)</f>
        <v>0</v>
      </c>
      <c r="V35" s="110">
        <f>ROUND(Total!D35/4,-2)</f>
        <v>3300</v>
      </c>
      <c r="W35" s="110">
        <f>ROUND(Total!E35/4,-2)</f>
        <v>0</v>
      </c>
      <c r="X35" s="51">
        <f>ROUND(Total!F35/4,-2)</f>
        <v>0</v>
      </c>
      <c r="Y35" s="110">
        <f>ROUND(Total!G35/4,-2)</f>
        <v>0</v>
      </c>
      <c r="Z35" s="129">
        <f t="shared" si="2"/>
        <v>3300</v>
      </c>
      <c r="AA35" s="97"/>
      <c r="AB35" s="96">
        <v>28</v>
      </c>
      <c r="AC35" s="124" t="s">
        <v>32</v>
      </c>
      <c r="AD35" s="51">
        <f>Total!C35-Auszahlungen!C35-Auszahlungen!L35-Auszahlungen!U35</f>
        <v>0</v>
      </c>
      <c r="AE35" s="110">
        <f>Total!D35-Auszahlungen!D35-Auszahlungen!M35-Auszahlungen!V35</f>
        <v>3300</v>
      </c>
      <c r="AF35" s="110">
        <f>Total!E35-Auszahlungen!E35-Auszahlungen!N35-Auszahlungen!W35</f>
        <v>0</v>
      </c>
      <c r="AG35" s="51">
        <f>Total!F35-Auszahlungen!F35-Auszahlungen!O35-Auszahlungen!X35</f>
        <v>0</v>
      </c>
      <c r="AH35" s="110">
        <f>Total!G35-Auszahlungen!G35-Auszahlungen!P35-Auszahlungen!Y35</f>
        <v>0</v>
      </c>
      <c r="AI35" s="129">
        <f t="shared" si="3"/>
        <v>3300</v>
      </c>
    </row>
    <row r="36" spans="1:35" x14ac:dyDescent="0.2">
      <c r="A36" s="96">
        <v>29</v>
      </c>
      <c r="B36" s="124" t="s">
        <v>33</v>
      </c>
      <c r="C36" s="51">
        <f>ROUND(Total!C36/4,-2)</f>
        <v>442300</v>
      </c>
      <c r="D36" s="110">
        <f>ROUND(Total!D36/4,-2)</f>
        <v>111800</v>
      </c>
      <c r="E36" s="110">
        <f>ROUND(Total!E36/4,-2)</f>
        <v>135900</v>
      </c>
      <c r="F36" s="51">
        <f>ROUND(Total!F36/4,-2)</f>
        <v>0</v>
      </c>
      <c r="G36" s="110">
        <f>ROUND(Total!G36/4,-2)</f>
        <v>0</v>
      </c>
      <c r="H36" s="129">
        <f t="shared" si="0"/>
        <v>690000</v>
      </c>
      <c r="I36" s="97"/>
      <c r="J36" s="96">
        <v>29</v>
      </c>
      <c r="K36" s="124" t="s">
        <v>33</v>
      </c>
      <c r="L36" s="51">
        <f>ROUND(Total!C36/4,-2)</f>
        <v>442300</v>
      </c>
      <c r="M36" s="110">
        <f>ROUND(Total!D36/4,-2)</f>
        <v>111800</v>
      </c>
      <c r="N36" s="110">
        <f>ROUND(Total!E36/4,-2)</f>
        <v>135900</v>
      </c>
      <c r="O36" s="51">
        <f>ROUND(Total!F36/4,-2)</f>
        <v>0</v>
      </c>
      <c r="P36" s="110">
        <f>ROUND(Total!G36/4,-2)</f>
        <v>0</v>
      </c>
      <c r="Q36" s="129">
        <f t="shared" si="1"/>
        <v>690000</v>
      </c>
      <c r="R36" s="97"/>
      <c r="S36" s="96">
        <v>29</v>
      </c>
      <c r="T36" s="124" t="s">
        <v>33</v>
      </c>
      <c r="U36" s="51">
        <f>ROUND(Total!C36/4,-2)</f>
        <v>442300</v>
      </c>
      <c r="V36" s="110">
        <f>ROUND(Total!D36/4,-2)</f>
        <v>111800</v>
      </c>
      <c r="W36" s="110">
        <f>ROUND(Total!E36/4,-2)</f>
        <v>135900</v>
      </c>
      <c r="X36" s="51">
        <f>ROUND(Total!F36/4,-2)</f>
        <v>0</v>
      </c>
      <c r="Y36" s="110">
        <f>ROUND(Total!G36/4,-2)</f>
        <v>0</v>
      </c>
      <c r="Z36" s="129">
        <f t="shared" si="2"/>
        <v>690000</v>
      </c>
      <c r="AA36" s="97"/>
      <c r="AB36" s="96">
        <v>29</v>
      </c>
      <c r="AC36" s="124" t="s">
        <v>33</v>
      </c>
      <c r="AD36" s="51">
        <f>Total!C36-Auszahlungen!C36-Auszahlungen!L36-Auszahlungen!U36</f>
        <v>442200</v>
      </c>
      <c r="AE36" s="110">
        <f>Total!D36-Auszahlungen!D36-Auszahlungen!M36-Auszahlungen!V36</f>
        <v>111800</v>
      </c>
      <c r="AF36" s="110">
        <f>Total!E36-Auszahlungen!E36-Auszahlungen!N36-Auszahlungen!W36</f>
        <v>135700</v>
      </c>
      <c r="AG36" s="51">
        <f>Total!F36-Auszahlungen!F36-Auszahlungen!O36-Auszahlungen!X36</f>
        <v>0</v>
      </c>
      <c r="AH36" s="110">
        <f>Total!G36-Auszahlungen!G36-Auszahlungen!P36-Auszahlungen!Y36</f>
        <v>0</v>
      </c>
      <c r="AI36" s="129">
        <f t="shared" si="3"/>
        <v>689700</v>
      </c>
    </row>
    <row r="37" spans="1:35" x14ac:dyDescent="0.2">
      <c r="A37" s="96">
        <v>30</v>
      </c>
      <c r="B37" s="124" t="s">
        <v>34</v>
      </c>
      <c r="C37" s="51">
        <f>ROUND(Total!C37/4,-2)</f>
        <v>574800</v>
      </c>
      <c r="D37" s="110">
        <f>ROUND(Total!D37/4,-2)</f>
        <v>262400</v>
      </c>
      <c r="E37" s="110">
        <f>ROUND(Total!E37/4,-2)</f>
        <v>202100</v>
      </c>
      <c r="F37" s="51">
        <f>ROUND(Total!F37/4,-2)</f>
        <v>0</v>
      </c>
      <c r="G37" s="110">
        <f>ROUND(Total!G37/4,-2)</f>
        <v>0</v>
      </c>
      <c r="H37" s="129">
        <f t="shared" si="0"/>
        <v>1039300</v>
      </c>
      <c r="I37" s="97"/>
      <c r="J37" s="96">
        <v>30</v>
      </c>
      <c r="K37" s="124" t="s">
        <v>34</v>
      </c>
      <c r="L37" s="51">
        <f>ROUND(Total!C37/4,-2)</f>
        <v>574800</v>
      </c>
      <c r="M37" s="110">
        <f>ROUND(Total!D37/4,-2)</f>
        <v>262400</v>
      </c>
      <c r="N37" s="110">
        <f>ROUND(Total!E37/4,-2)</f>
        <v>202100</v>
      </c>
      <c r="O37" s="51">
        <f>ROUND(Total!F37/4,-2)</f>
        <v>0</v>
      </c>
      <c r="P37" s="110">
        <f>ROUND(Total!G37/4,-2)</f>
        <v>0</v>
      </c>
      <c r="Q37" s="129">
        <f t="shared" si="1"/>
        <v>1039300</v>
      </c>
      <c r="R37" s="97"/>
      <c r="S37" s="96">
        <v>30</v>
      </c>
      <c r="T37" s="124" t="s">
        <v>34</v>
      </c>
      <c r="U37" s="51">
        <f>ROUND(Total!C37/4,-2)</f>
        <v>574800</v>
      </c>
      <c r="V37" s="110">
        <f>ROUND(Total!D37/4,-2)</f>
        <v>262400</v>
      </c>
      <c r="W37" s="110">
        <f>ROUND(Total!E37/4,-2)</f>
        <v>202100</v>
      </c>
      <c r="X37" s="51">
        <f>ROUND(Total!F37/4,-2)</f>
        <v>0</v>
      </c>
      <c r="Y37" s="110">
        <f>ROUND(Total!G37/4,-2)</f>
        <v>0</v>
      </c>
      <c r="Z37" s="129">
        <f t="shared" si="2"/>
        <v>1039300</v>
      </c>
      <c r="AA37" s="97"/>
      <c r="AB37" s="96">
        <v>30</v>
      </c>
      <c r="AC37" s="124" t="s">
        <v>34</v>
      </c>
      <c r="AD37" s="51">
        <f>Total!C37-Auszahlungen!C37-Auszahlungen!L37-Auszahlungen!U37</f>
        <v>574800</v>
      </c>
      <c r="AE37" s="110">
        <f>Total!D37-Auszahlungen!D37-Auszahlungen!M37-Auszahlungen!V37</f>
        <v>262200</v>
      </c>
      <c r="AF37" s="110">
        <f>Total!E37-Auszahlungen!E37-Auszahlungen!N37-Auszahlungen!W37</f>
        <v>201900</v>
      </c>
      <c r="AG37" s="51">
        <f>Total!F37-Auszahlungen!F37-Auszahlungen!O37-Auszahlungen!X37</f>
        <v>0</v>
      </c>
      <c r="AH37" s="110">
        <f>Total!G37-Auszahlungen!G37-Auszahlungen!P37-Auszahlungen!Y37</f>
        <v>0</v>
      </c>
      <c r="AI37" s="129">
        <f t="shared" si="3"/>
        <v>1038900</v>
      </c>
    </row>
    <row r="38" spans="1:35" x14ac:dyDescent="0.2">
      <c r="A38" s="96">
        <v>31</v>
      </c>
      <c r="B38" s="124" t="s">
        <v>35</v>
      </c>
      <c r="C38" s="51">
        <f>ROUND(Total!C38/4,-2)</f>
        <v>132800</v>
      </c>
      <c r="D38" s="110">
        <f>ROUND(Total!D38/4,-2)</f>
        <v>0</v>
      </c>
      <c r="E38" s="110">
        <f>ROUND(Total!E38/4,-2)</f>
        <v>0</v>
      </c>
      <c r="F38" s="51">
        <f>ROUND(Total!F38/4,-2)</f>
        <v>120200</v>
      </c>
      <c r="G38" s="110">
        <f>ROUND(Total!G38/4,-2)</f>
        <v>0</v>
      </c>
      <c r="H38" s="129">
        <f t="shared" si="0"/>
        <v>253000</v>
      </c>
      <c r="I38" s="97"/>
      <c r="J38" s="96">
        <v>31</v>
      </c>
      <c r="K38" s="124" t="s">
        <v>35</v>
      </c>
      <c r="L38" s="51">
        <f>ROUND(Total!C38/4,-2)</f>
        <v>132800</v>
      </c>
      <c r="M38" s="110">
        <f>ROUND(Total!D38/4,-2)</f>
        <v>0</v>
      </c>
      <c r="N38" s="110">
        <f>ROUND(Total!E38/4,-2)</f>
        <v>0</v>
      </c>
      <c r="O38" s="51">
        <f>ROUND(Total!F38/4,-2)</f>
        <v>120200</v>
      </c>
      <c r="P38" s="110">
        <f>ROUND(Total!G38/4,-2)</f>
        <v>0</v>
      </c>
      <c r="Q38" s="129">
        <f t="shared" si="1"/>
        <v>253000</v>
      </c>
      <c r="R38" s="97"/>
      <c r="S38" s="96">
        <v>31</v>
      </c>
      <c r="T38" s="124" t="s">
        <v>35</v>
      </c>
      <c r="U38" s="51">
        <f>ROUND(Total!C38/4,-2)</f>
        <v>132800</v>
      </c>
      <c r="V38" s="110">
        <f>ROUND(Total!D38/4,-2)</f>
        <v>0</v>
      </c>
      <c r="W38" s="110">
        <f>ROUND(Total!E38/4,-2)</f>
        <v>0</v>
      </c>
      <c r="X38" s="51">
        <f>ROUND(Total!F38/4,-2)</f>
        <v>120200</v>
      </c>
      <c r="Y38" s="110">
        <f>ROUND(Total!G38/4,-2)</f>
        <v>0</v>
      </c>
      <c r="Z38" s="129">
        <f t="shared" si="2"/>
        <v>253000</v>
      </c>
      <c r="AA38" s="97"/>
      <c r="AB38" s="96">
        <v>31</v>
      </c>
      <c r="AC38" s="124" t="s">
        <v>35</v>
      </c>
      <c r="AD38" s="51">
        <f>Total!C38-Auszahlungen!C38-Auszahlungen!L38-Auszahlungen!U38</f>
        <v>132700</v>
      </c>
      <c r="AE38" s="110">
        <f>Total!D38-Auszahlungen!D38-Auszahlungen!M38-Auszahlungen!V38</f>
        <v>0</v>
      </c>
      <c r="AF38" s="110">
        <f>Total!E38-Auszahlungen!E38-Auszahlungen!N38-Auszahlungen!W38</f>
        <v>0</v>
      </c>
      <c r="AG38" s="51">
        <f>Total!F38-Auszahlungen!F38-Auszahlungen!O38-Auszahlungen!X38</f>
        <v>120300</v>
      </c>
      <c r="AH38" s="110">
        <f>Total!G38-Auszahlungen!G38-Auszahlungen!P38-Auszahlungen!Y38</f>
        <v>0</v>
      </c>
      <c r="AI38" s="129">
        <f t="shared" si="3"/>
        <v>253000</v>
      </c>
    </row>
    <row r="39" spans="1:35" x14ac:dyDescent="0.2">
      <c r="A39" s="96">
        <v>32</v>
      </c>
      <c r="B39" s="124" t="s">
        <v>36</v>
      </c>
      <c r="C39" s="51">
        <f>ROUND(Total!C39/4,-2)</f>
        <v>612300</v>
      </c>
      <c r="D39" s="110">
        <f>ROUND(Total!D39/4,-2)</f>
        <v>37000</v>
      </c>
      <c r="E39" s="110">
        <f>ROUND(Total!E39/4,-2)</f>
        <v>160500</v>
      </c>
      <c r="F39" s="51">
        <f>ROUND(Total!F39/4,-2)</f>
        <v>6700</v>
      </c>
      <c r="G39" s="110">
        <f>ROUND(Total!G39/4,-2)</f>
        <v>0</v>
      </c>
      <c r="H39" s="129">
        <f t="shared" si="0"/>
        <v>816500</v>
      </c>
      <c r="I39" s="97"/>
      <c r="J39" s="96">
        <v>32</v>
      </c>
      <c r="K39" s="124" t="s">
        <v>36</v>
      </c>
      <c r="L39" s="51">
        <f>ROUND(Total!C39/4,-2)</f>
        <v>612300</v>
      </c>
      <c r="M39" s="110">
        <f>ROUND(Total!D39/4,-2)</f>
        <v>37000</v>
      </c>
      <c r="N39" s="110">
        <f>ROUND(Total!E39/4,-2)</f>
        <v>160500</v>
      </c>
      <c r="O39" s="51">
        <f>ROUND(Total!F39/4,-2)</f>
        <v>6700</v>
      </c>
      <c r="P39" s="110">
        <f>ROUND(Total!G39/4,-2)</f>
        <v>0</v>
      </c>
      <c r="Q39" s="129">
        <f t="shared" si="1"/>
        <v>816500</v>
      </c>
      <c r="R39" s="97"/>
      <c r="S39" s="96">
        <v>32</v>
      </c>
      <c r="T39" s="124" t="s">
        <v>36</v>
      </c>
      <c r="U39" s="51">
        <f>ROUND(Total!C39/4,-2)</f>
        <v>612300</v>
      </c>
      <c r="V39" s="110">
        <f>ROUND(Total!D39/4,-2)</f>
        <v>37000</v>
      </c>
      <c r="W39" s="110">
        <f>ROUND(Total!E39/4,-2)</f>
        <v>160500</v>
      </c>
      <c r="X39" s="51">
        <f>ROUND(Total!F39/4,-2)</f>
        <v>6700</v>
      </c>
      <c r="Y39" s="110">
        <f>ROUND(Total!G39/4,-2)</f>
        <v>0</v>
      </c>
      <c r="Z39" s="129">
        <f t="shared" si="2"/>
        <v>816500</v>
      </c>
      <c r="AA39" s="97"/>
      <c r="AB39" s="96">
        <v>32</v>
      </c>
      <c r="AC39" s="124" t="s">
        <v>36</v>
      </c>
      <c r="AD39" s="51">
        <f>Total!C39-Auszahlungen!C39-Auszahlungen!L39-Auszahlungen!U39</f>
        <v>612400</v>
      </c>
      <c r="AE39" s="110">
        <f>Total!D39-Auszahlungen!D39-Auszahlungen!M39-Auszahlungen!V39</f>
        <v>36900</v>
      </c>
      <c r="AF39" s="110">
        <f>Total!E39-Auszahlungen!E39-Auszahlungen!N39-Auszahlungen!W39</f>
        <v>160500</v>
      </c>
      <c r="AG39" s="51">
        <f>Total!F39-Auszahlungen!F39-Auszahlungen!O39-Auszahlungen!X39</f>
        <v>6700</v>
      </c>
      <c r="AH39" s="110">
        <f>Total!G39-Auszahlungen!G39-Auszahlungen!P39-Auszahlungen!Y39</f>
        <v>0</v>
      </c>
      <c r="AI39" s="129">
        <f t="shared" si="3"/>
        <v>816500</v>
      </c>
    </row>
    <row r="40" spans="1:35" x14ac:dyDescent="0.2">
      <c r="A40" s="96">
        <v>33</v>
      </c>
      <c r="B40" s="124" t="s">
        <v>37</v>
      </c>
      <c r="C40" s="51">
        <f>ROUND(Total!C40/4,-2)</f>
        <v>1017100</v>
      </c>
      <c r="D40" s="110">
        <f>ROUND(Total!D40/4,-2)</f>
        <v>95900</v>
      </c>
      <c r="E40" s="110">
        <f>ROUND(Total!E40/4,-2)</f>
        <v>227400</v>
      </c>
      <c r="F40" s="51">
        <f>ROUND(Total!F40/4,-2)</f>
        <v>0</v>
      </c>
      <c r="G40" s="110">
        <f>ROUND(Total!G40/4,-2)</f>
        <v>0</v>
      </c>
      <c r="H40" s="129">
        <f t="shared" ref="H40:H69" si="4">SUM(C40:G40)</f>
        <v>1340400</v>
      </c>
      <c r="I40" s="97"/>
      <c r="J40" s="96">
        <v>33</v>
      </c>
      <c r="K40" s="124" t="s">
        <v>37</v>
      </c>
      <c r="L40" s="51">
        <f>ROUND(Total!C40/4,-2)</f>
        <v>1017100</v>
      </c>
      <c r="M40" s="110">
        <f>ROUND(Total!D40/4,-2)</f>
        <v>95900</v>
      </c>
      <c r="N40" s="110">
        <f>ROUND(Total!E40/4,-2)</f>
        <v>227400</v>
      </c>
      <c r="O40" s="51">
        <f>ROUND(Total!F40/4,-2)</f>
        <v>0</v>
      </c>
      <c r="P40" s="110">
        <f>ROUND(Total!G40/4,-2)</f>
        <v>0</v>
      </c>
      <c r="Q40" s="129">
        <f t="shared" ref="Q40:Q69" si="5">SUM(L40:P40)</f>
        <v>1340400</v>
      </c>
      <c r="R40" s="97"/>
      <c r="S40" s="96">
        <v>33</v>
      </c>
      <c r="T40" s="124" t="s">
        <v>37</v>
      </c>
      <c r="U40" s="51">
        <f>ROUND(Total!C40/4,-2)</f>
        <v>1017100</v>
      </c>
      <c r="V40" s="110">
        <f>ROUND(Total!D40/4,-2)</f>
        <v>95900</v>
      </c>
      <c r="W40" s="110">
        <f>ROUND(Total!E40/4,-2)</f>
        <v>227400</v>
      </c>
      <c r="X40" s="51">
        <f>ROUND(Total!F40/4,-2)</f>
        <v>0</v>
      </c>
      <c r="Y40" s="110">
        <f>ROUND(Total!G40/4,-2)</f>
        <v>0</v>
      </c>
      <c r="Z40" s="129">
        <f t="shared" ref="Z40:Z69" si="6">SUM(U40:Y40)</f>
        <v>1340400</v>
      </c>
      <c r="AA40" s="97"/>
      <c r="AB40" s="96">
        <v>33</v>
      </c>
      <c r="AC40" s="124" t="s">
        <v>37</v>
      </c>
      <c r="AD40" s="51">
        <f>Total!C40-Auszahlungen!C40-Auszahlungen!L40-Auszahlungen!U40</f>
        <v>1017200</v>
      </c>
      <c r="AE40" s="110">
        <f>Total!D40-Auszahlungen!D40-Auszahlungen!M40-Auszahlungen!V40</f>
        <v>96000</v>
      </c>
      <c r="AF40" s="110">
        <f>Total!E40-Auszahlungen!E40-Auszahlungen!N40-Auszahlungen!W40</f>
        <v>227300</v>
      </c>
      <c r="AG40" s="51">
        <f>Total!F40-Auszahlungen!F40-Auszahlungen!O40-Auszahlungen!X40</f>
        <v>0</v>
      </c>
      <c r="AH40" s="110">
        <f>Total!G40-Auszahlungen!G40-Auszahlungen!P40-Auszahlungen!Y40</f>
        <v>0</v>
      </c>
      <c r="AI40" s="129">
        <f t="shared" ref="AI40:AI69" si="7">SUM(AD40:AH40)</f>
        <v>1340500</v>
      </c>
    </row>
    <row r="41" spans="1:35" x14ac:dyDescent="0.2">
      <c r="A41" s="96">
        <v>34</v>
      </c>
      <c r="B41" s="124" t="s">
        <v>38</v>
      </c>
      <c r="C41" s="51">
        <f>ROUND(Total!C41/4,-2)</f>
        <v>677100</v>
      </c>
      <c r="D41" s="110">
        <f>ROUND(Total!D41/4,-2)</f>
        <v>0</v>
      </c>
      <c r="E41" s="110">
        <f>ROUND(Total!E41/4,-2)</f>
        <v>95300</v>
      </c>
      <c r="F41" s="51">
        <f>ROUND(Total!F41/4,-2)</f>
        <v>0</v>
      </c>
      <c r="G41" s="110">
        <f>ROUND(Total!G41/4,-2)</f>
        <v>0</v>
      </c>
      <c r="H41" s="129">
        <f t="shared" si="4"/>
        <v>772400</v>
      </c>
      <c r="I41" s="97"/>
      <c r="J41" s="96">
        <v>34</v>
      </c>
      <c r="K41" s="124" t="s">
        <v>38</v>
      </c>
      <c r="L41" s="51">
        <f>ROUND(Total!C41/4,-2)</f>
        <v>677100</v>
      </c>
      <c r="M41" s="110">
        <f>ROUND(Total!D41/4,-2)</f>
        <v>0</v>
      </c>
      <c r="N41" s="110">
        <f>ROUND(Total!E41/4,-2)</f>
        <v>95300</v>
      </c>
      <c r="O41" s="51">
        <f>ROUND(Total!F41/4,-2)</f>
        <v>0</v>
      </c>
      <c r="P41" s="110">
        <f>ROUND(Total!G41/4,-2)</f>
        <v>0</v>
      </c>
      <c r="Q41" s="129">
        <f t="shared" si="5"/>
        <v>772400</v>
      </c>
      <c r="R41" s="97"/>
      <c r="S41" s="96">
        <v>34</v>
      </c>
      <c r="T41" s="124" t="s">
        <v>38</v>
      </c>
      <c r="U41" s="51">
        <f>ROUND(Total!C41/4,-2)</f>
        <v>677100</v>
      </c>
      <c r="V41" s="110">
        <f>ROUND(Total!D41/4,-2)</f>
        <v>0</v>
      </c>
      <c r="W41" s="110">
        <f>ROUND(Total!E41/4,-2)</f>
        <v>95300</v>
      </c>
      <c r="X41" s="51">
        <f>ROUND(Total!F41/4,-2)</f>
        <v>0</v>
      </c>
      <c r="Y41" s="110">
        <f>ROUND(Total!G41/4,-2)</f>
        <v>0</v>
      </c>
      <c r="Z41" s="129">
        <f t="shared" si="6"/>
        <v>772400</v>
      </c>
      <c r="AA41" s="97"/>
      <c r="AB41" s="96">
        <v>34</v>
      </c>
      <c r="AC41" s="124" t="s">
        <v>38</v>
      </c>
      <c r="AD41" s="51">
        <f>Total!C41-Auszahlungen!C41-Auszahlungen!L41-Auszahlungen!U41</f>
        <v>677000</v>
      </c>
      <c r="AE41" s="110">
        <f>Total!D41-Auszahlungen!D41-Auszahlungen!M41-Auszahlungen!V41</f>
        <v>0</v>
      </c>
      <c r="AF41" s="110">
        <f>Total!E41-Auszahlungen!E41-Auszahlungen!N41-Auszahlungen!W41</f>
        <v>95400</v>
      </c>
      <c r="AG41" s="51">
        <f>Total!F41-Auszahlungen!F41-Auszahlungen!O41-Auszahlungen!X41</f>
        <v>0</v>
      </c>
      <c r="AH41" s="110">
        <f>Total!G41-Auszahlungen!G41-Auszahlungen!P41-Auszahlungen!Y41</f>
        <v>0</v>
      </c>
      <c r="AI41" s="129">
        <f t="shared" si="7"/>
        <v>772400</v>
      </c>
    </row>
    <row r="42" spans="1:35" x14ac:dyDescent="0.2">
      <c r="A42" s="96">
        <v>35</v>
      </c>
      <c r="B42" s="124" t="s">
        <v>39</v>
      </c>
      <c r="C42" s="51">
        <f>ROUND(Total!C42/4,-2)</f>
        <v>726700</v>
      </c>
      <c r="D42" s="110">
        <f>ROUND(Total!D42/4,-2)</f>
        <v>44700</v>
      </c>
      <c r="E42" s="110">
        <f>ROUND(Total!E42/4,-2)</f>
        <v>40900</v>
      </c>
      <c r="F42" s="51">
        <f>ROUND(Total!F42/4,-2)</f>
        <v>0</v>
      </c>
      <c r="G42" s="110">
        <f>ROUND(Total!G42/4,-2)</f>
        <v>0</v>
      </c>
      <c r="H42" s="129">
        <f t="shared" si="4"/>
        <v>812300</v>
      </c>
      <c r="I42" s="97"/>
      <c r="J42" s="96">
        <v>35</v>
      </c>
      <c r="K42" s="124" t="s">
        <v>39</v>
      </c>
      <c r="L42" s="51">
        <f>ROUND(Total!C42/4,-2)</f>
        <v>726700</v>
      </c>
      <c r="M42" s="110">
        <f>ROUND(Total!D42/4,-2)</f>
        <v>44700</v>
      </c>
      <c r="N42" s="110">
        <f>ROUND(Total!E42/4,-2)</f>
        <v>40900</v>
      </c>
      <c r="O42" s="51">
        <f>ROUND(Total!F42/4,-2)</f>
        <v>0</v>
      </c>
      <c r="P42" s="110">
        <f>ROUND(Total!G42/4,-2)</f>
        <v>0</v>
      </c>
      <c r="Q42" s="129">
        <f t="shared" si="5"/>
        <v>812300</v>
      </c>
      <c r="R42" s="97"/>
      <c r="S42" s="96">
        <v>35</v>
      </c>
      <c r="T42" s="124" t="s">
        <v>39</v>
      </c>
      <c r="U42" s="51">
        <f>ROUND(Total!C42/4,-2)</f>
        <v>726700</v>
      </c>
      <c r="V42" s="110">
        <f>ROUND(Total!D42/4,-2)</f>
        <v>44700</v>
      </c>
      <c r="W42" s="110">
        <f>ROUND(Total!E42/4,-2)</f>
        <v>40900</v>
      </c>
      <c r="X42" s="51">
        <f>ROUND(Total!F42/4,-2)</f>
        <v>0</v>
      </c>
      <c r="Y42" s="110">
        <f>ROUND(Total!G42/4,-2)</f>
        <v>0</v>
      </c>
      <c r="Z42" s="129">
        <f t="shared" si="6"/>
        <v>812300</v>
      </c>
      <c r="AA42" s="97"/>
      <c r="AB42" s="96">
        <v>35</v>
      </c>
      <c r="AC42" s="124" t="s">
        <v>39</v>
      </c>
      <c r="AD42" s="51">
        <f>Total!C42-Auszahlungen!C42-Auszahlungen!L42-Auszahlungen!U42</f>
        <v>726700</v>
      </c>
      <c r="AE42" s="110">
        <f>Total!D42-Auszahlungen!D42-Auszahlungen!M42-Auszahlungen!V42</f>
        <v>44600</v>
      </c>
      <c r="AF42" s="110">
        <f>Total!E42-Auszahlungen!E42-Auszahlungen!N42-Auszahlungen!W42</f>
        <v>40700</v>
      </c>
      <c r="AG42" s="51">
        <f>Total!F42-Auszahlungen!F42-Auszahlungen!O42-Auszahlungen!X42</f>
        <v>0</v>
      </c>
      <c r="AH42" s="110">
        <f>Total!G42-Auszahlungen!G42-Auszahlungen!P42-Auszahlungen!Y42</f>
        <v>0</v>
      </c>
      <c r="AI42" s="129">
        <f t="shared" si="7"/>
        <v>812000</v>
      </c>
    </row>
    <row r="43" spans="1:35" x14ac:dyDescent="0.2">
      <c r="A43" s="96">
        <v>36</v>
      </c>
      <c r="B43" s="124" t="s">
        <v>40</v>
      </c>
      <c r="C43" s="51">
        <f>ROUND(Total!C43/4,-2)</f>
        <v>0</v>
      </c>
      <c r="D43" s="110">
        <f>ROUND(Total!D43/4,-2)</f>
        <v>0</v>
      </c>
      <c r="E43" s="110">
        <f>ROUND(Total!E43/4,-2)</f>
        <v>0</v>
      </c>
      <c r="F43" s="51">
        <f>ROUND(Total!F43/4,-2)</f>
        <v>0</v>
      </c>
      <c r="G43" s="110">
        <f>ROUND(Total!G43/4,-2)</f>
        <v>0</v>
      </c>
      <c r="H43" s="129">
        <f t="shared" si="4"/>
        <v>0</v>
      </c>
      <c r="I43" s="97"/>
      <c r="J43" s="96">
        <v>36</v>
      </c>
      <c r="K43" s="124" t="s">
        <v>40</v>
      </c>
      <c r="L43" s="51">
        <f>ROUND(Total!C43/4,-2)</f>
        <v>0</v>
      </c>
      <c r="M43" s="110">
        <f>ROUND(Total!D43/4,-2)</f>
        <v>0</v>
      </c>
      <c r="N43" s="110">
        <f>ROUND(Total!E43/4,-2)</f>
        <v>0</v>
      </c>
      <c r="O43" s="51">
        <f>ROUND(Total!F43/4,-2)</f>
        <v>0</v>
      </c>
      <c r="P43" s="110">
        <f>ROUND(Total!G43/4,-2)</f>
        <v>0</v>
      </c>
      <c r="Q43" s="129">
        <f t="shared" si="5"/>
        <v>0</v>
      </c>
      <c r="R43" s="97"/>
      <c r="S43" s="96">
        <v>36</v>
      </c>
      <c r="T43" s="124" t="s">
        <v>40</v>
      </c>
      <c r="U43" s="51">
        <f>ROUND(Total!C43/4,-2)</f>
        <v>0</v>
      </c>
      <c r="V43" s="110">
        <f>ROUND(Total!D43/4,-2)</f>
        <v>0</v>
      </c>
      <c r="W43" s="110">
        <f>ROUND(Total!E43/4,-2)</f>
        <v>0</v>
      </c>
      <c r="X43" s="51">
        <f>ROUND(Total!F43/4,-2)</f>
        <v>0</v>
      </c>
      <c r="Y43" s="110">
        <f>ROUND(Total!G43/4,-2)</f>
        <v>0</v>
      </c>
      <c r="Z43" s="129">
        <f t="shared" si="6"/>
        <v>0</v>
      </c>
      <c r="AA43" s="97"/>
      <c r="AB43" s="96">
        <v>36</v>
      </c>
      <c r="AC43" s="124" t="s">
        <v>40</v>
      </c>
      <c r="AD43" s="51">
        <f>Total!C43-Auszahlungen!C43-Auszahlungen!L43-Auszahlungen!U43</f>
        <v>0</v>
      </c>
      <c r="AE43" s="110">
        <f>Total!D43-Auszahlungen!D43-Auszahlungen!M43-Auszahlungen!V43</f>
        <v>0</v>
      </c>
      <c r="AF43" s="110">
        <f>Total!E43-Auszahlungen!E43-Auszahlungen!N43-Auszahlungen!W43</f>
        <v>0</v>
      </c>
      <c r="AG43" s="51">
        <f>Total!F43-Auszahlungen!F43-Auszahlungen!O43-Auszahlungen!X43</f>
        <v>0</v>
      </c>
      <c r="AH43" s="110">
        <f>Total!G43-Auszahlungen!G43-Auszahlungen!P43-Auszahlungen!Y43</f>
        <v>0</v>
      </c>
      <c r="AI43" s="129">
        <f t="shared" si="7"/>
        <v>0</v>
      </c>
    </row>
    <row r="44" spans="1:35" x14ac:dyDescent="0.2">
      <c r="A44" s="96">
        <v>37</v>
      </c>
      <c r="B44" s="124" t="s">
        <v>41</v>
      </c>
      <c r="C44" s="51">
        <f>ROUND(Total!C44/4,-2)</f>
        <v>325300</v>
      </c>
      <c r="D44" s="110">
        <f>ROUND(Total!D44/4,-2)</f>
        <v>592700</v>
      </c>
      <c r="E44" s="110">
        <f>ROUND(Total!E44/4,-2)</f>
        <v>10000</v>
      </c>
      <c r="F44" s="51">
        <f>ROUND(Total!F44/4,-2)</f>
        <v>5100</v>
      </c>
      <c r="G44" s="110">
        <f>ROUND(Total!G44/4,-2)</f>
        <v>0</v>
      </c>
      <c r="H44" s="129">
        <f t="shared" si="4"/>
        <v>933100</v>
      </c>
      <c r="I44" s="97"/>
      <c r="J44" s="96">
        <v>37</v>
      </c>
      <c r="K44" s="124" t="s">
        <v>41</v>
      </c>
      <c r="L44" s="51">
        <f>ROUND(Total!C44/4,-2)</f>
        <v>325300</v>
      </c>
      <c r="M44" s="110">
        <f>ROUND(Total!D44/4,-2)</f>
        <v>592700</v>
      </c>
      <c r="N44" s="110">
        <f>ROUND(Total!E44/4,-2)</f>
        <v>10000</v>
      </c>
      <c r="O44" s="51">
        <f>ROUND(Total!F44/4,-2)</f>
        <v>5100</v>
      </c>
      <c r="P44" s="110">
        <f>ROUND(Total!G44/4,-2)</f>
        <v>0</v>
      </c>
      <c r="Q44" s="129">
        <f t="shared" si="5"/>
        <v>933100</v>
      </c>
      <c r="R44" s="97"/>
      <c r="S44" s="96">
        <v>37</v>
      </c>
      <c r="T44" s="124" t="s">
        <v>41</v>
      </c>
      <c r="U44" s="51">
        <f>ROUND(Total!C44/4,-2)</f>
        <v>325300</v>
      </c>
      <c r="V44" s="110">
        <f>ROUND(Total!D44/4,-2)</f>
        <v>592700</v>
      </c>
      <c r="W44" s="110">
        <f>ROUND(Total!E44/4,-2)</f>
        <v>10000</v>
      </c>
      <c r="X44" s="51">
        <f>ROUND(Total!F44/4,-2)</f>
        <v>5100</v>
      </c>
      <c r="Y44" s="110">
        <f>ROUND(Total!G44/4,-2)</f>
        <v>0</v>
      </c>
      <c r="Z44" s="129">
        <f t="shared" si="6"/>
        <v>933100</v>
      </c>
      <c r="AA44" s="97"/>
      <c r="AB44" s="96">
        <v>37</v>
      </c>
      <c r="AC44" s="124" t="s">
        <v>41</v>
      </c>
      <c r="AD44" s="51">
        <f>Total!C44-Auszahlungen!C44-Auszahlungen!L44-Auszahlungen!U44</f>
        <v>325400</v>
      </c>
      <c r="AE44" s="110">
        <f>Total!D44-Auszahlungen!D44-Auszahlungen!M44-Auszahlungen!V44</f>
        <v>592800</v>
      </c>
      <c r="AF44" s="110">
        <f>Total!E44-Auszahlungen!E44-Auszahlungen!N44-Auszahlungen!W44</f>
        <v>10000</v>
      </c>
      <c r="AG44" s="51">
        <f>Total!F44-Auszahlungen!F44-Auszahlungen!O44-Auszahlungen!X44</f>
        <v>4900</v>
      </c>
      <c r="AH44" s="110">
        <f>Total!G44-Auszahlungen!G44-Auszahlungen!P44-Auszahlungen!Y44</f>
        <v>0</v>
      </c>
      <c r="AI44" s="129">
        <f t="shared" si="7"/>
        <v>933100</v>
      </c>
    </row>
    <row r="45" spans="1:35" x14ac:dyDescent="0.2">
      <c r="A45" s="96">
        <v>38</v>
      </c>
      <c r="B45" s="124" t="s">
        <v>42</v>
      </c>
      <c r="C45" s="51">
        <f>ROUND(Total!C45/4,-2)</f>
        <v>1159700</v>
      </c>
      <c r="D45" s="110">
        <f>ROUND(Total!D45/4,-2)</f>
        <v>296700</v>
      </c>
      <c r="E45" s="110">
        <f>ROUND(Total!E45/4,-2)</f>
        <v>245300</v>
      </c>
      <c r="F45" s="51">
        <f>ROUND(Total!F45/4,-2)</f>
        <v>0</v>
      </c>
      <c r="G45" s="110">
        <f>ROUND(Total!G45/4,-2)</f>
        <v>0</v>
      </c>
      <c r="H45" s="129">
        <f t="shared" si="4"/>
        <v>1701700</v>
      </c>
      <c r="I45" s="97"/>
      <c r="J45" s="96">
        <v>38</v>
      </c>
      <c r="K45" s="124" t="s">
        <v>42</v>
      </c>
      <c r="L45" s="51">
        <f>ROUND(Total!C45/4,-2)</f>
        <v>1159700</v>
      </c>
      <c r="M45" s="110">
        <f>ROUND(Total!D45/4,-2)</f>
        <v>296700</v>
      </c>
      <c r="N45" s="110">
        <f>ROUND(Total!E45/4,-2)</f>
        <v>245300</v>
      </c>
      <c r="O45" s="51">
        <f>ROUND(Total!F45/4,-2)</f>
        <v>0</v>
      </c>
      <c r="P45" s="110">
        <f>ROUND(Total!G45/4,-2)</f>
        <v>0</v>
      </c>
      <c r="Q45" s="129">
        <f t="shared" si="5"/>
        <v>1701700</v>
      </c>
      <c r="R45" s="97"/>
      <c r="S45" s="96">
        <v>38</v>
      </c>
      <c r="T45" s="124" t="s">
        <v>42</v>
      </c>
      <c r="U45" s="51">
        <f>ROUND(Total!C45/4,-2)</f>
        <v>1159700</v>
      </c>
      <c r="V45" s="110">
        <f>ROUND(Total!D45/4,-2)</f>
        <v>296700</v>
      </c>
      <c r="W45" s="110">
        <f>ROUND(Total!E45/4,-2)</f>
        <v>245300</v>
      </c>
      <c r="X45" s="51">
        <f>ROUND(Total!F45/4,-2)</f>
        <v>0</v>
      </c>
      <c r="Y45" s="110">
        <f>ROUND(Total!G45/4,-2)</f>
        <v>0</v>
      </c>
      <c r="Z45" s="129">
        <f t="shared" si="6"/>
        <v>1701700</v>
      </c>
      <c r="AA45" s="97"/>
      <c r="AB45" s="96">
        <v>38</v>
      </c>
      <c r="AC45" s="124" t="s">
        <v>42</v>
      </c>
      <c r="AD45" s="51">
        <f>Total!C45-Auszahlungen!C45-Auszahlungen!L45-Auszahlungen!U45</f>
        <v>1159500</v>
      </c>
      <c r="AE45" s="110">
        <f>Total!D45-Auszahlungen!D45-Auszahlungen!M45-Auszahlungen!V45</f>
        <v>296700</v>
      </c>
      <c r="AF45" s="110">
        <f>Total!E45-Auszahlungen!E45-Auszahlungen!N45-Auszahlungen!W45</f>
        <v>245100</v>
      </c>
      <c r="AG45" s="51">
        <f>Total!F45-Auszahlungen!F45-Auszahlungen!O45-Auszahlungen!X45</f>
        <v>0</v>
      </c>
      <c r="AH45" s="110">
        <f>Total!G45-Auszahlungen!G45-Auszahlungen!P45-Auszahlungen!Y45</f>
        <v>0</v>
      </c>
      <c r="AI45" s="129">
        <f t="shared" si="7"/>
        <v>1701300</v>
      </c>
    </row>
    <row r="46" spans="1:35" x14ac:dyDescent="0.2">
      <c r="A46" s="96">
        <v>39</v>
      </c>
      <c r="B46" s="124" t="s">
        <v>43</v>
      </c>
      <c r="C46" s="51">
        <f>ROUND(Total!C46/4,-2)</f>
        <v>705800</v>
      </c>
      <c r="D46" s="110">
        <f>ROUND(Total!D46/4,-2)</f>
        <v>268300</v>
      </c>
      <c r="E46" s="110">
        <f>ROUND(Total!E46/4,-2)</f>
        <v>144100</v>
      </c>
      <c r="F46" s="51">
        <f>ROUND(Total!F46/4,-2)</f>
        <v>0</v>
      </c>
      <c r="G46" s="110">
        <f>ROUND(Total!G46/4,-2)</f>
        <v>0</v>
      </c>
      <c r="H46" s="129">
        <f t="shared" si="4"/>
        <v>1118200</v>
      </c>
      <c r="I46" s="97"/>
      <c r="J46" s="96">
        <v>39</v>
      </c>
      <c r="K46" s="124" t="s">
        <v>43</v>
      </c>
      <c r="L46" s="51">
        <f>ROUND(Total!C46/4,-2)</f>
        <v>705800</v>
      </c>
      <c r="M46" s="110">
        <f>ROUND(Total!D46/4,-2)</f>
        <v>268300</v>
      </c>
      <c r="N46" s="110">
        <f>ROUND(Total!E46/4,-2)</f>
        <v>144100</v>
      </c>
      <c r="O46" s="51">
        <f>ROUND(Total!F46/4,-2)</f>
        <v>0</v>
      </c>
      <c r="P46" s="110">
        <f>ROUND(Total!G46/4,-2)</f>
        <v>0</v>
      </c>
      <c r="Q46" s="129">
        <f t="shared" si="5"/>
        <v>1118200</v>
      </c>
      <c r="R46" s="97"/>
      <c r="S46" s="96">
        <v>39</v>
      </c>
      <c r="T46" s="124" t="s">
        <v>43</v>
      </c>
      <c r="U46" s="51">
        <f>ROUND(Total!C46/4,-2)</f>
        <v>705800</v>
      </c>
      <c r="V46" s="110">
        <f>ROUND(Total!D46/4,-2)</f>
        <v>268300</v>
      </c>
      <c r="W46" s="110">
        <f>ROUND(Total!E46/4,-2)</f>
        <v>144100</v>
      </c>
      <c r="X46" s="51">
        <f>ROUND(Total!F46/4,-2)</f>
        <v>0</v>
      </c>
      <c r="Y46" s="110">
        <f>ROUND(Total!G46/4,-2)</f>
        <v>0</v>
      </c>
      <c r="Z46" s="129">
        <f t="shared" si="6"/>
        <v>1118200</v>
      </c>
      <c r="AA46" s="97"/>
      <c r="AB46" s="96">
        <v>39</v>
      </c>
      <c r="AC46" s="124" t="s">
        <v>43</v>
      </c>
      <c r="AD46" s="51">
        <f>Total!C46-Auszahlungen!C46-Auszahlungen!L46-Auszahlungen!U46</f>
        <v>705700</v>
      </c>
      <c r="AE46" s="110">
        <f>Total!D46-Auszahlungen!D46-Auszahlungen!M46-Auszahlungen!V46</f>
        <v>268300</v>
      </c>
      <c r="AF46" s="110">
        <f>Total!E46-Auszahlungen!E46-Auszahlungen!N46-Auszahlungen!W46</f>
        <v>143900</v>
      </c>
      <c r="AG46" s="51">
        <f>Total!F46-Auszahlungen!F46-Auszahlungen!O46-Auszahlungen!X46</f>
        <v>0</v>
      </c>
      <c r="AH46" s="110">
        <f>Total!G46-Auszahlungen!G46-Auszahlungen!P46-Auszahlungen!Y46</f>
        <v>0</v>
      </c>
      <c r="AI46" s="129">
        <f t="shared" si="7"/>
        <v>1117900</v>
      </c>
    </row>
    <row r="47" spans="1:35" x14ac:dyDescent="0.2">
      <c r="A47" s="96">
        <v>40</v>
      </c>
      <c r="B47" s="124" t="s">
        <v>44</v>
      </c>
      <c r="C47" s="51">
        <f>ROUND(Total!C47/4,-2)</f>
        <v>515000</v>
      </c>
      <c r="D47" s="110">
        <f>ROUND(Total!D47/4,-2)</f>
        <v>0</v>
      </c>
      <c r="E47" s="110">
        <f>ROUND(Total!E47/4,-2)</f>
        <v>111900</v>
      </c>
      <c r="F47" s="51">
        <f>ROUND(Total!F47/4,-2)</f>
        <v>0</v>
      </c>
      <c r="G47" s="110">
        <f>ROUND(Total!G47/4,-2)</f>
        <v>0</v>
      </c>
      <c r="H47" s="129">
        <f t="shared" si="4"/>
        <v>626900</v>
      </c>
      <c r="I47" s="97"/>
      <c r="J47" s="96">
        <v>40</v>
      </c>
      <c r="K47" s="124" t="s">
        <v>44</v>
      </c>
      <c r="L47" s="51">
        <f>ROUND(Total!C47/4,-2)</f>
        <v>515000</v>
      </c>
      <c r="M47" s="110">
        <f>ROUND(Total!D47/4,-2)</f>
        <v>0</v>
      </c>
      <c r="N47" s="110">
        <f>ROUND(Total!E47/4,-2)</f>
        <v>111900</v>
      </c>
      <c r="O47" s="51">
        <f>ROUND(Total!F47/4,-2)</f>
        <v>0</v>
      </c>
      <c r="P47" s="110">
        <f>ROUND(Total!G47/4,-2)</f>
        <v>0</v>
      </c>
      <c r="Q47" s="129">
        <f t="shared" si="5"/>
        <v>626900</v>
      </c>
      <c r="R47" s="97"/>
      <c r="S47" s="96">
        <v>40</v>
      </c>
      <c r="T47" s="124" t="s">
        <v>44</v>
      </c>
      <c r="U47" s="51">
        <f>ROUND(Total!C47/4,-2)</f>
        <v>515000</v>
      </c>
      <c r="V47" s="110">
        <f>ROUND(Total!D47/4,-2)</f>
        <v>0</v>
      </c>
      <c r="W47" s="110">
        <f>ROUND(Total!E47/4,-2)</f>
        <v>111900</v>
      </c>
      <c r="X47" s="51">
        <f>ROUND(Total!F47/4,-2)</f>
        <v>0</v>
      </c>
      <c r="Y47" s="110">
        <f>ROUND(Total!G47/4,-2)</f>
        <v>0</v>
      </c>
      <c r="Z47" s="129">
        <f t="shared" si="6"/>
        <v>626900</v>
      </c>
      <c r="AA47" s="97"/>
      <c r="AB47" s="96">
        <v>40</v>
      </c>
      <c r="AC47" s="124" t="s">
        <v>44</v>
      </c>
      <c r="AD47" s="51">
        <f>Total!C47-Auszahlungen!C47-Auszahlungen!L47-Auszahlungen!U47</f>
        <v>515100</v>
      </c>
      <c r="AE47" s="110">
        <f>Total!D47-Auszahlungen!D47-Auszahlungen!M47-Auszahlungen!V47</f>
        <v>0</v>
      </c>
      <c r="AF47" s="110">
        <f>Total!E47-Auszahlungen!E47-Auszahlungen!N47-Auszahlungen!W47</f>
        <v>111900</v>
      </c>
      <c r="AG47" s="51">
        <f>Total!F47-Auszahlungen!F47-Auszahlungen!O47-Auszahlungen!X47</f>
        <v>0</v>
      </c>
      <c r="AH47" s="110">
        <f>Total!G47-Auszahlungen!G47-Auszahlungen!P47-Auszahlungen!Y47</f>
        <v>0</v>
      </c>
      <c r="AI47" s="129">
        <f t="shared" si="7"/>
        <v>627000</v>
      </c>
    </row>
    <row r="48" spans="1:35" x14ac:dyDescent="0.2">
      <c r="A48" s="96">
        <v>41</v>
      </c>
      <c r="B48" s="124" t="s">
        <v>45</v>
      </c>
      <c r="C48" s="51">
        <f>ROUND(Total!C48/4,-2)</f>
        <v>66700</v>
      </c>
      <c r="D48" s="110">
        <f>ROUND(Total!D48/4,-2)</f>
        <v>120300</v>
      </c>
      <c r="E48" s="110">
        <f>ROUND(Total!E48/4,-2)</f>
        <v>0</v>
      </c>
      <c r="F48" s="51">
        <f>ROUND(Total!F48/4,-2)</f>
        <v>0</v>
      </c>
      <c r="G48" s="110">
        <f>ROUND(Total!G48/4,-2)</f>
        <v>0</v>
      </c>
      <c r="H48" s="129">
        <f t="shared" si="4"/>
        <v>187000</v>
      </c>
      <c r="I48" s="97"/>
      <c r="J48" s="96">
        <v>41</v>
      </c>
      <c r="K48" s="124" t="s">
        <v>45</v>
      </c>
      <c r="L48" s="51">
        <f>ROUND(Total!C48/4,-2)</f>
        <v>66700</v>
      </c>
      <c r="M48" s="110">
        <f>ROUND(Total!D48/4,-2)</f>
        <v>120300</v>
      </c>
      <c r="N48" s="110">
        <f>ROUND(Total!E48/4,-2)</f>
        <v>0</v>
      </c>
      <c r="O48" s="51">
        <f>ROUND(Total!F48/4,-2)</f>
        <v>0</v>
      </c>
      <c r="P48" s="110">
        <f>ROUND(Total!G48/4,-2)</f>
        <v>0</v>
      </c>
      <c r="Q48" s="129">
        <f t="shared" si="5"/>
        <v>187000</v>
      </c>
      <c r="R48" s="97"/>
      <c r="S48" s="96">
        <v>41</v>
      </c>
      <c r="T48" s="124" t="s">
        <v>45</v>
      </c>
      <c r="U48" s="51">
        <f>ROUND(Total!C48/4,-2)</f>
        <v>66700</v>
      </c>
      <c r="V48" s="110">
        <f>ROUND(Total!D48/4,-2)</f>
        <v>120300</v>
      </c>
      <c r="W48" s="110">
        <f>ROUND(Total!E48/4,-2)</f>
        <v>0</v>
      </c>
      <c r="X48" s="51">
        <f>ROUND(Total!F48/4,-2)</f>
        <v>0</v>
      </c>
      <c r="Y48" s="110">
        <f>ROUND(Total!G48/4,-2)</f>
        <v>0</v>
      </c>
      <c r="Z48" s="129">
        <f t="shared" si="6"/>
        <v>187000</v>
      </c>
      <c r="AA48" s="97"/>
      <c r="AB48" s="96">
        <v>41</v>
      </c>
      <c r="AC48" s="124" t="s">
        <v>45</v>
      </c>
      <c r="AD48" s="51">
        <f>Total!C48-Auszahlungen!C48-Auszahlungen!L48-Auszahlungen!U48</f>
        <v>66700</v>
      </c>
      <c r="AE48" s="110">
        <f>Total!D48-Auszahlungen!D48-Auszahlungen!M48-Auszahlungen!V48</f>
        <v>120200</v>
      </c>
      <c r="AF48" s="110">
        <f>Total!E48-Auszahlungen!E48-Auszahlungen!N48-Auszahlungen!W48</f>
        <v>0</v>
      </c>
      <c r="AG48" s="51">
        <f>Total!F48-Auszahlungen!F48-Auszahlungen!O48-Auszahlungen!X48</f>
        <v>0</v>
      </c>
      <c r="AH48" s="110">
        <f>Total!G48-Auszahlungen!G48-Auszahlungen!P48-Auszahlungen!Y48</f>
        <v>0</v>
      </c>
      <c r="AI48" s="129">
        <f t="shared" si="7"/>
        <v>186900</v>
      </c>
    </row>
    <row r="49" spans="1:35" x14ac:dyDescent="0.2">
      <c r="A49" s="96">
        <v>42</v>
      </c>
      <c r="B49" s="124" t="s">
        <v>46</v>
      </c>
      <c r="C49" s="51">
        <f>ROUND(Total!C49/4,-2)</f>
        <v>0</v>
      </c>
      <c r="D49" s="110">
        <f>ROUND(Total!D49/4,-2)</f>
        <v>130900</v>
      </c>
      <c r="E49" s="110">
        <f>ROUND(Total!E49/4,-2)</f>
        <v>0</v>
      </c>
      <c r="F49" s="51">
        <f>ROUND(Total!F49/4,-2)</f>
        <v>0</v>
      </c>
      <c r="G49" s="110">
        <f>ROUND(Total!G49/4,-2)</f>
        <v>0</v>
      </c>
      <c r="H49" s="129">
        <f t="shared" si="4"/>
        <v>130900</v>
      </c>
      <c r="I49" s="97"/>
      <c r="J49" s="96">
        <v>42</v>
      </c>
      <c r="K49" s="124" t="s">
        <v>46</v>
      </c>
      <c r="L49" s="51">
        <f>ROUND(Total!C49/4,-2)</f>
        <v>0</v>
      </c>
      <c r="M49" s="110">
        <f>ROUND(Total!D49/4,-2)</f>
        <v>130900</v>
      </c>
      <c r="N49" s="110">
        <f>ROUND(Total!E49/4,-2)</f>
        <v>0</v>
      </c>
      <c r="O49" s="51">
        <f>ROUND(Total!F49/4,-2)</f>
        <v>0</v>
      </c>
      <c r="P49" s="110">
        <f>ROUND(Total!G49/4,-2)</f>
        <v>0</v>
      </c>
      <c r="Q49" s="129">
        <f t="shared" si="5"/>
        <v>130900</v>
      </c>
      <c r="R49" s="97"/>
      <c r="S49" s="96">
        <v>42</v>
      </c>
      <c r="T49" s="124" t="s">
        <v>46</v>
      </c>
      <c r="U49" s="51">
        <f>ROUND(Total!C49/4,-2)</f>
        <v>0</v>
      </c>
      <c r="V49" s="110">
        <f>ROUND(Total!D49/4,-2)</f>
        <v>130900</v>
      </c>
      <c r="W49" s="110">
        <f>ROUND(Total!E49/4,-2)</f>
        <v>0</v>
      </c>
      <c r="X49" s="51">
        <f>ROUND(Total!F49/4,-2)</f>
        <v>0</v>
      </c>
      <c r="Y49" s="110">
        <f>ROUND(Total!G49/4,-2)</f>
        <v>0</v>
      </c>
      <c r="Z49" s="129">
        <f t="shared" si="6"/>
        <v>130900</v>
      </c>
      <c r="AA49" s="97"/>
      <c r="AB49" s="96">
        <v>42</v>
      </c>
      <c r="AC49" s="124" t="s">
        <v>46</v>
      </c>
      <c r="AD49" s="51">
        <f>Total!C49-Auszahlungen!C49-Auszahlungen!L49-Auszahlungen!U49</f>
        <v>0</v>
      </c>
      <c r="AE49" s="110">
        <f>Total!D49-Auszahlungen!D49-Auszahlungen!M49-Auszahlungen!V49</f>
        <v>130800</v>
      </c>
      <c r="AF49" s="110">
        <f>Total!E49-Auszahlungen!E49-Auszahlungen!N49-Auszahlungen!W49</f>
        <v>0</v>
      </c>
      <c r="AG49" s="51">
        <f>Total!F49-Auszahlungen!F49-Auszahlungen!O49-Auszahlungen!X49</f>
        <v>0</v>
      </c>
      <c r="AH49" s="110">
        <f>Total!G49-Auszahlungen!G49-Auszahlungen!P49-Auszahlungen!Y49</f>
        <v>0</v>
      </c>
      <c r="AI49" s="129">
        <f t="shared" si="7"/>
        <v>130800</v>
      </c>
    </row>
    <row r="50" spans="1:35" x14ac:dyDescent="0.2">
      <c r="A50" s="96">
        <v>43</v>
      </c>
      <c r="B50" s="124" t="s">
        <v>47</v>
      </c>
      <c r="C50" s="51">
        <f>ROUND(Total!C50/4,-2)</f>
        <v>0</v>
      </c>
      <c r="D50" s="110">
        <f>ROUND(Total!D50/4,-2)</f>
        <v>0</v>
      </c>
      <c r="E50" s="110">
        <f>ROUND(Total!E50/4,-2)</f>
        <v>0</v>
      </c>
      <c r="F50" s="51">
        <f>ROUND(Total!F50/4,-2)</f>
        <v>0</v>
      </c>
      <c r="G50" s="110">
        <f>ROUND(Total!G50/4,-2)</f>
        <v>0</v>
      </c>
      <c r="H50" s="129">
        <f t="shared" si="4"/>
        <v>0</v>
      </c>
      <c r="I50" s="97"/>
      <c r="J50" s="96">
        <v>43</v>
      </c>
      <c r="K50" s="124" t="s">
        <v>47</v>
      </c>
      <c r="L50" s="51">
        <f>ROUND(Total!C50/4,-2)</f>
        <v>0</v>
      </c>
      <c r="M50" s="110">
        <f>ROUND(Total!D50/4,-2)</f>
        <v>0</v>
      </c>
      <c r="N50" s="110">
        <f>ROUND(Total!E50/4,-2)</f>
        <v>0</v>
      </c>
      <c r="O50" s="51">
        <f>ROUND(Total!F50/4,-2)</f>
        <v>0</v>
      </c>
      <c r="P50" s="110">
        <f>ROUND(Total!G50/4,-2)</f>
        <v>0</v>
      </c>
      <c r="Q50" s="129">
        <f t="shared" si="5"/>
        <v>0</v>
      </c>
      <c r="R50" s="97"/>
      <c r="S50" s="96">
        <v>43</v>
      </c>
      <c r="T50" s="124" t="s">
        <v>47</v>
      </c>
      <c r="U50" s="51">
        <f>ROUND(Total!C50/4,-2)</f>
        <v>0</v>
      </c>
      <c r="V50" s="110">
        <f>ROUND(Total!D50/4,-2)</f>
        <v>0</v>
      </c>
      <c r="W50" s="110">
        <f>ROUND(Total!E50/4,-2)</f>
        <v>0</v>
      </c>
      <c r="X50" s="51">
        <f>ROUND(Total!F50/4,-2)</f>
        <v>0</v>
      </c>
      <c r="Y50" s="110">
        <f>ROUND(Total!G50/4,-2)</f>
        <v>0</v>
      </c>
      <c r="Z50" s="129">
        <f t="shared" si="6"/>
        <v>0</v>
      </c>
      <c r="AA50" s="97"/>
      <c r="AB50" s="96">
        <v>43</v>
      </c>
      <c r="AC50" s="124" t="s">
        <v>47</v>
      </c>
      <c r="AD50" s="51">
        <f>Total!C50-Auszahlungen!C50-Auszahlungen!L50-Auszahlungen!U50</f>
        <v>0</v>
      </c>
      <c r="AE50" s="110">
        <f>Total!D50-Auszahlungen!D50-Auszahlungen!M50-Auszahlungen!V50</f>
        <v>0</v>
      </c>
      <c r="AF50" s="110">
        <f>Total!E50-Auszahlungen!E50-Auszahlungen!N50-Auszahlungen!W50</f>
        <v>0</v>
      </c>
      <c r="AG50" s="51">
        <f>Total!F50-Auszahlungen!F50-Auszahlungen!O50-Auszahlungen!X50</f>
        <v>0</v>
      </c>
      <c r="AH50" s="110">
        <f>Total!G50-Auszahlungen!G50-Auszahlungen!P50-Auszahlungen!Y50</f>
        <v>0</v>
      </c>
      <c r="AI50" s="129">
        <f t="shared" si="7"/>
        <v>0</v>
      </c>
    </row>
    <row r="51" spans="1:35" x14ac:dyDescent="0.2">
      <c r="A51" s="96">
        <v>44</v>
      </c>
      <c r="B51" s="124" t="s">
        <v>48</v>
      </c>
      <c r="C51" s="51">
        <f>ROUND(Total!C51/4,-2)</f>
        <v>831400</v>
      </c>
      <c r="D51" s="110">
        <f>ROUND(Total!D51/4,-2)</f>
        <v>83400</v>
      </c>
      <c r="E51" s="110">
        <f>ROUND(Total!E51/4,-2)</f>
        <v>249900</v>
      </c>
      <c r="F51" s="51">
        <f>ROUND(Total!F51/4,-2)</f>
        <v>2000</v>
      </c>
      <c r="G51" s="110">
        <f>ROUND(Total!G51/4,-2)</f>
        <v>0</v>
      </c>
      <c r="H51" s="129">
        <f t="shared" si="4"/>
        <v>1166700</v>
      </c>
      <c r="I51" s="97"/>
      <c r="J51" s="96">
        <v>44</v>
      </c>
      <c r="K51" s="124" t="s">
        <v>48</v>
      </c>
      <c r="L51" s="51">
        <f>ROUND(Total!C51/4,-2)</f>
        <v>831400</v>
      </c>
      <c r="M51" s="110">
        <f>ROUND(Total!D51/4,-2)</f>
        <v>83400</v>
      </c>
      <c r="N51" s="110">
        <f>ROUND(Total!E51/4,-2)</f>
        <v>249900</v>
      </c>
      <c r="O51" s="51">
        <f>ROUND(Total!F51/4,-2)</f>
        <v>2000</v>
      </c>
      <c r="P51" s="110">
        <f>ROUND(Total!G51/4,-2)</f>
        <v>0</v>
      </c>
      <c r="Q51" s="129">
        <f t="shared" si="5"/>
        <v>1166700</v>
      </c>
      <c r="R51" s="97"/>
      <c r="S51" s="96">
        <v>44</v>
      </c>
      <c r="T51" s="124" t="s">
        <v>48</v>
      </c>
      <c r="U51" s="51">
        <f>ROUND(Total!C51/4,-2)</f>
        <v>831400</v>
      </c>
      <c r="V51" s="110">
        <f>ROUND(Total!D51/4,-2)</f>
        <v>83400</v>
      </c>
      <c r="W51" s="110">
        <f>ROUND(Total!E51/4,-2)</f>
        <v>249900</v>
      </c>
      <c r="X51" s="51">
        <f>ROUND(Total!F51/4,-2)</f>
        <v>2000</v>
      </c>
      <c r="Y51" s="110">
        <f>ROUND(Total!G51/4,-2)</f>
        <v>0</v>
      </c>
      <c r="Z51" s="129">
        <f t="shared" si="6"/>
        <v>1166700</v>
      </c>
      <c r="AA51" s="97"/>
      <c r="AB51" s="96">
        <v>44</v>
      </c>
      <c r="AC51" s="124" t="s">
        <v>48</v>
      </c>
      <c r="AD51" s="51">
        <f>Total!C51-Auszahlungen!C51-Auszahlungen!L51-Auszahlungen!U51</f>
        <v>831300</v>
      </c>
      <c r="AE51" s="110">
        <f>Total!D51-Auszahlungen!D51-Auszahlungen!M51-Auszahlungen!V51</f>
        <v>83200</v>
      </c>
      <c r="AF51" s="110">
        <f>Total!E51-Auszahlungen!E51-Auszahlungen!N51-Auszahlungen!W51</f>
        <v>249700</v>
      </c>
      <c r="AG51" s="51">
        <f>Total!F51-Auszahlungen!F51-Auszahlungen!O51-Auszahlungen!X51</f>
        <v>2100</v>
      </c>
      <c r="AH51" s="110">
        <f>Total!G51-Auszahlungen!G51-Auszahlungen!P51-Auszahlungen!Y51</f>
        <v>0</v>
      </c>
      <c r="AI51" s="129">
        <f t="shared" si="7"/>
        <v>1166300</v>
      </c>
    </row>
    <row r="52" spans="1:35" x14ac:dyDescent="0.2">
      <c r="A52" s="96">
        <v>45</v>
      </c>
      <c r="B52" s="124" t="s">
        <v>49</v>
      </c>
      <c r="C52" s="51">
        <f>ROUND(Total!C52/4,-2)</f>
        <v>496700</v>
      </c>
      <c r="D52" s="110">
        <f>ROUND(Total!D52/4,-2)</f>
        <v>48300</v>
      </c>
      <c r="E52" s="110">
        <f>ROUND(Total!E52/4,-2)</f>
        <v>200000</v>
      </c>
      <c r="F52" s="51">
        <f>ROUND(Total!F52/4,-2)</f>
        <v>0</v>
      </c>
      <c r="G52" s="110">
        <f>ROUND(Total!G52/4,-2)</f>
        <v>0</v>
      </c>
      <c r="H52" s="129">
        <f t="shared" si="4"/>
        <v>745000</v>
      </c>
      <c r="I52" s="97"/>
      <c r="J52" s="96">
        <v>45</v>
      </c>
      <c r="K52" s="124" t="s">
        <v>49</v>
      </c>
      <c r="L52" s="51">
        <f>ROUND(Total!C52/4,-2)</f>
        <v>496700</v>
      </c>
      <c r="M52" s="110">
        <f>ROUND(Total!D52/4,-2)</f>
        <v>48300</v>
      </c>
      <c r="N52" s="110">
        <f>ROUND(Total!E52/4,-2)</f>
        <v>200000</v>
      </c>
      <c r="O52" s="51">
        <f>ROUND(Total!F52/4,-2)</f>
        <v>0</v>
      </c>
      <c r="P52" s="110">
        <f>ROUND(Total!G52/4,-2)</f>
        <v>0</v>
      </c>
      <c r="Q52" s="129">
        <f t="shared" si="5"/>
        <v>745000</v>
      </c>
      <c r="R52" s="97"/>
      <c r="S52" s="96">
        <v>45</v>
      </c>
      <c r="T52" s="124" t="s">
        <v>49</v>
      </c>
      <c r="U52" s="51">
        <f>ROUND(Total!C52/4,-2)</f>
        <v>496700</v>
      </c>
      <c r="V52" s="110">
        <f>ROUND(Total!D52/4,-2)</f>
        <v>48300</v>
      </c>
      <c r="W52" s="110">
        <f>ROUND(Total!E52/4,-2)</f>
        <v>200000</v>
      </c>
      <c r="X52" s="51">
        <f>ROUND(Total!F52/4,-2)</f>
        <v>0</v>
      </c>
      <c r="Y52" s="110">
        <f>ROUND(Total!G52/4,-2)</f>
        <v>0</v>
      </c>
      <c r="Z52" s="129">
        <f t="shared" si="6"/>
        <v>745000</v>
      </c>
      <c r="AA52" s="97"/>
      <c r="AB52" s="96">
        <v>45</v>
      </c>
      <c r="AC52" s="124" t="s">
        <v>49</v>
      </c>
      <c r="AD52" s="51">
        <f>Total!C52-Auszahlungen!C52-Auszahlungen!L52-Auszahlungen!U52</f>
        <v>496800</v>
      </c>
      <c r="AE52" s="110">
        <f>Total!D52-Auszahlungen!D52-Auszahlungen!M52-Auszahlungen!V52</f>
        <v>48300</v>
      </c>
      <c r="AF52" s="110">
        <f>Total!E52-Auszahlungen!E52-Auszahlungen!N52-Auszahlungen!W52</f>
        <v>199800</v>
      </c>
      <c r="AG52" s="51">
        <f>Total!F52-Auszahlungen!F52-Auszahlungen!O52-Auszahlungen!X52</f>
        <v>0</v>
      </c>
      <c r="AH52" s="110">
        <f>Total!G52-Auszahlungen!G52-Auszahlungen!P52-Auszahlungen!Y52</f>
        <v>0</v>
      </c>
      <c r="AI52" s="129">
        <f t="shared" si="7"/>
        <v>744900</v>
      </c>
    </row>
    <row r="53" spans="1:35" x14ac:dyDescent="0.2">
      <c r="A53" s="96">
        <v>46</v>
      </c>
      <c r="B53" s="124" t="s">
        <v>50</v>
      </c>
      <c r="C53" s="51">
        <f>ROUND(Total!C53/4,-2)</f>
        <v>711900</v>
      </c>
      <c r="D53" s="110">
        <f>ROUND(Total!D53/4,-2)</f>
        <v>0</v>
      </c>
      <c r="E53" s="110">
        <f>ROUND(Total!E53/4,-2)</f>
        <v>86700</v>
      </c>
      <c r="F53" s="51">
        <f>ROUND(Total!F53/4,-2)</f>
        <v>0</v>
      </c>
      <c r="G53" s="110">
        <f>ROUND(Total!G53/4,-2)</f>
        <v>0</v>
      </c>
      <c r="H53" s="129">
        <f t="shared" si="4"/>
        <v>798600</v>
      </c>
      <c r="I53" s="97"/>
      <c r="J53" s="96">
        <v>46</v>
      </c>
      <c r="K53" s="124" t="s">
        <v>50</v>
      </c>
      <c r="L53" s="51">
        <f>ROUND(Total!C53/4,-2)</f>
        <v>711900</v>
      </c>
      <c r="M53" s="110">
        <f>ROUND(Total!D53/4,-2)</f>
        <v>0</v>
      </c>
      <c r="N53" s="110">
        <f>ROUND(Total!E53/4,-2)</f>
        <v>86700</v>
      </c>
      <c r="O53" s="51">
        <f>ROUND(Total!F53/4,-2)</f>
        <v>0</v>
      </c>
      <c r="P53" s="110">
        <f>ROUND(Total!G53/4,-2)</f>
        <v>0</v>
      </c>
      <c r="Q53" s="129">
        <f t="shared" si="5"/>
        <v>798600</v>
      </c>
      <c r="R53" s="97"/>
      <c r="S53" s="96">
        <v>46</v>
      </c>
      <c r="T53" s="124" t="s">
        <v>50</v>
      </c>
      <c r="U53" s="51">
        <f>ROUND(Total!C53/4,-2)</f>
        <v>711900</v>
      </c>
      <c r="V53" s="110">
        <f>ROUND(Total!D53/4,-2)</f>
        <v>0</v>
      </c>
      <c r="W53" s="110">
        <f>ROUND(Total!E53/4,-2)</f>
        <v>86700</v>
      </c>
      <c r="X53" s="51">
        <f>ROUND(Total!F53/4,-2)</f>
        <v>0</v>
      </c>
      <c r="Y53" s="110">
        <f>ROUND(Total!G53/4,-2)</f>
        <v>0</v>
      </c>
      <c r="Z53" s="129">
        <f t="shared" si="6"/>
        <v>798600</v>
      </c>
      <c r="AA53" s="97"/>
      <c r="AB53" s="96">
        <v>46</v>
      </c>
      <c r="AC53" s="124" t="s">
        <v>50</v>
      </c>
      <c r="AD53" s="51">
        <f>Total!C53-Auszahlungen!C53-Auszahlungen!L53-Auszahlungen!U53</f>
        <v>711900</v>
      </c>
      <c r="AE53" s="110">
        <f>Total!D53-Auszahlungen!D53-Auszahlungen!M53-Auszahlungen!V53</f>
        <v>0</v>
      </c>
      <c r="AF53" s="110">
        <f>Total!E53-Auszahlungen!E53-Auszahlungen!N53-Auszahlungen!W53</f>
        <v>86800</v>
      </c>
      <c r="AG53" s="51">
        <f>Total!F53-Auszahlungen!F53-Auszahlungen!O53-Auszahlungen!X53</f>
        <v>0</v>
      </c>
      <c r="AH53" s="110">
        <f>Total!G53-Auszahlungen!G53-Auszahlungen!P53-Auszahlungen!Y53</f>
        <v>0</v>
      </c>
      <c r="AI53" s="129">
        <f t="shared" si="7"/>
        <v>798700</v>
      </c>
    </row>
    <row r="54" spans="1:35" x14ac:dyDescent="0.2">
      <c r="A54" s="96">
        <v>48</v>
      </c>
      <c r="B54" s="124" t="s">
        <v>51</v>
      </c>
      <c r="C54" s="51">
        <f>ROUND(Total!C54/4,-2)</f>
        <v>0</v>
      </c>
      <c r="D54" s="110">
        <f>ROUND(Total!D54/4,-2)</f>
        <v>43100</v>
      </c>
      <c r="E54" s="110">
        <f>ROUND(Total!E54/4,-2)</f>
        <v>0</v>
      </c>
      <c r="F54" s="51">
        <f>ROUND(Total!F54/4,-2)</f>
        <v>0</v>
      </c>
      <c r="G54" s="110">
        <f>ROUND(Total!G54/4,-2)</f>
        <v>0</v>
      </c>
      <c r="H54" s="129">
        <f t="shared" si="4"/>
        <v>43100</v>
      </c>
      <c r="I54" s="97"/>
      <c r="J54" s="96">
        <v>48</v>
      </c>
      <c r="K54" s="124" t="s">
        <v>51</v>
      </c>
      <c r="L54" s="51">
        <f>ROUND(Total!C54/4,-2)</f>
        <v>0</v>
      </c>
      <c r="M54" s="110">
        <f>ROUND(Total!D54/4,-2)</f>
        <v>43100</v>
      </c>
      <c r="N54" s="110">
        <f>ROUND(Total!E54/4,-2)</f>
        <v>0</v>
      </c>
      <c r="O54" s="51">
        <f>ROUND(Total!F54/4,-2)</f>
        <v>0</v>
      </c>
      <c r="P54" s="110">
        <f>ROUND(Total!G54/4,-2)</f>
        <v>0</v>
      </c>
      <c r="Q54" s="129">
        <f t="shared" si="5"/>
        <v>43100</v>
      </c>
      <c r="R54" s="97"/>
      <c r="S54" s="96">
        <v>48</v>
      </c>
      <c r="T54" s="124" t="s">
        <v>51</v>
      </c>
      <c r="U54" s="51">
        <f>ROUND(Total!C54/4,-2)</f>
        <v>0</v>
      </c>
      <c r="V54" s="110">
        <f>ROUND(Total!D54/4,-2)</f>
        <v>43100</v>
      </c>
      <c r="W54" s="110">
        <f>ROUND(Total!E54/4,-2)</f>
        <v>0</v>
      </c>
      <c r="X54" s="51">
        <f>ROUND(Total!F54/4,-2)</f>
        <v>0</v>
      </c>
      <c r="Y54" s="110">
        <f>ROUND(Total!G54/4,-2)</f>
        <v>0</v>
      </c>
      <c r="Z54" s="129">
        <f t="shared" si="6"/>
        <v>43100</v>
      </c>
      <c r="AA54" s="97"/>
      <c r="AB54" s="96">
        <v>48</v>
      </c>
      <c r="AC54" s="124" t="s">
        <v>51</v>
      </c>
      <c r="AD54" s="51">
        <f>Total!C54-Auszahlungen!C54-Auszahlungen!L54-Auszahlungen!U54</f>
        <v>0</v>
      </c>
      <c r="AE54" s="110">
        <f>Total!D54-Auszahlungen!D54-Auszahlungen!M54-Auszahlungen!V54</f>
        <v>43100</v>
      </c>
      <c r="AF54" s="110">
        <f>Total!E54-Auszahlungen!E54-Auszahlungen!N54-Auszahlungen!W54</f>
        <v>0</v>
      </c>
      <c r="AG54" s="51">
        <f>Total!F54-Auszahlungen!F54-Auszahlungen!O54-Auszahlungen!X54</f>
        <v>0</v>
      </c>
      <c r="AH54" s="110">
        <f>Total!G54-Auszahlungen!G54-Auszahlungen!P54-Auszahlungen!Y54</f>
        <v>0</v>
      </c>
      <c r="AI54" s="129">
        <f t="shared" si="7"/>
        <v>43100</v>
      </c>
    </row>
    <row r="55" spans="1:35" x14ac:dyDescent="0.2">
      <c r="A55" s="96">
        <v>50</v>
      </c>
      <c r="B55" s="124" t="s">
        <v>52</v>
      </c>
      <c r="C55" s="51">
        <f>ROUND(Total!C55/4,-2)</f>
        <v>415700</v>
      </c>
      <c r="D55" s="110">
        <f>ROUND(Total!D55/4,-2)</f>
        <v>0</v>
      </c>
      <c r="E55" s="110">
        <f>ROUND(Total!E55/4,-2)</f>
        <v>167600</v>
      </c>
      <c r="F55" s="51">
        <f>ROUND(Total!F55/4,-2)</f>
        <v>37200</v>
      </c>
      <c r="G55" s="110">
        <f>ROUND(Total!G55/4,-2)</f>
        <v>0</v>
      </c>
      <c r="H55" s="129">
        <f t="shared" si="4"/>
        <v>620500</v>
      </c>
      <c r="I55" s="97"/>
      <c r="J55" s="96">
        <v>50</v>
      </c>
      <c r="K55" s="124" t="s">
        <v>52</v>
      </c>
      <c r="L55" s="51">
        <f>ROUND(Total!C55/4,-2)</f>
        <v>415700</v>
      </c>
      <c r="M55" s="110">
        <f>ROUND(Total!D55/4,-2)</f>
        <v>0</v>
      </c>
      <c r="N55" s="110">
        <f>ROUND(Total!E55/4,-2)</f>
        <v>167600</v>
      </c>
      <c r="O55" s="51">
        <f>ROUND(Total!F55/4,-2)</f>
        <v>37200</v>
      </c>
      <c r="P55" s="110">
        <f>ROUND(Total!G55/4,-2)</f>
        <v>0</v>
      </c>
      <c r="Q55" s="129">
        <f t="shared" si="5"/>
        <v>620500</v>
      </c>
      <c r="R55" s="97"/>
      <c r="S55" s="96">
        <v>50</v>
      </c>
      <c r="T55" s="124" t="s">
        <v>52</v>
      </c>
      <c r="U55" s="51">
        <f>ROUND(Total!C55/4,-2)</f>
        <v>415700</v>
      </c>
      <c r="V55" s="110">
        <f>ROUND(Total!D55/4,-2)</f>
        <v>0</v>
      </c>
      <c r="W55" s="110">
        <f>ROUND(Total!E55/4,-2)</f>
        <v>167600</v>
      </c>
      <c r="X55" s="51">
        <f>ROUND(Total!F55/4,-2)</f>
        <v>37200</v>
      </c>
      <c r="Y55" s="110">
        <f>ROUND(Total!G55/4,-2)</f>
        <v>0</v>
      </c>
      <c r="Z55" s="129">
        <f t="shared" si="6"/>
        <v>620500</v>
      </c>
      <c r="AA55" s="97"/>
      <c r="AB55" s="96">
        <v>50</v>
      </c>
      <c r="AC55" s="124" t="s">
        <v>52</v>
      </c>
      <c r="AD55" s="51">
        <f>Total!C55-Auszahlungen!C55-Auszahlungen!L55-Auszahlungen!U55</f>
        <v>415600</v>
      </c>
      <c r="AE55" s="110">
        <f>Total!D55-Auszahlungen!D55-Auszahlungen!M55-Auszahlungen!V55</f>
        <v>0</v>
      </c>
      <c r="AF55" s="110">
        <f>Total!E55-Auszahlungen!E55-Auszahlungen!N55-Auszahlungen!W55</f>
        <v>167500</v>
      </c>
      <c r="AG55" s="51">
        <f>Total!F55-Auszahlungen!F55-Auszahlungen!O55-Auszahlungen!X55</f>
        <v>37200</v>
      </c>
      <c r="AH55" s="110">
        <f>Total!G55-Auszahlungen!G55-Auszahlungen!P55-Auszahlungen!Y55</f>
        <v>0</v>
      </c>
      <c r="AI55" s="129">
        <f t="shared" si="7"/>
        <v>620300</v>
      </c>
    </row>
    <row r="56" spans="1:35" x14ac:dyDescent="0.2">
      <c r="A56" s="96">
        <v>51</v>
      </c>
      <c r="B56" s="124" t="s">
        <v>53</v>
      </c>
      <c r="C56" s="51">
        <f>ROUND(Total!C56/4,-2)</f>
        <v>0</v>
      </c>
      <c r="D56" s="110">
        <f>ROUND(Total!D56/4,-2)</f>
        <v>0</v>
      </c>
      <c r="E56" s="110">
        <f>ROUND(Total!E56/4,-2)</f>
        <v>0</v>
      </c>
      <c r="F56" s="51">
        <f>ROUND(Total!F56/4,-2)</f>
        <v>0</v>
      </c>
      <c r="G56" s="110">
        <f>ROUND(Total!G56/4,-2)</f>
        <v>0</v>
      </c>
      <c r="H56" s="129">
        <f t="shared" si="4"/>
        <v>0</v>
      </c>
      <c r="I56" s="97"/>
      <c r="J56" s="96">
        <v>51</v>
      </c>
      <c r="K56" s="124" t="s">
        <v>53</v>
      </c>
      <c r="L56" s="51">
        <f>ROUND(Total!C56/4,-2)</f>
        <v>0</v>
      </c>
      <c r="M56" s="110">
        <f>ROUND(Total!D56/4,-2)</f>
        <v>0</v>
      </c>
      <c r="N56" s="110">
        <f>ROUND(Total!E56/4,-2)</f>
        <v>0</v>
      </c>
      <c r="O56" s="51">
        <f>ROUND(Total!F56/4,-2)</f>
        <v>0</v>
      </c>
      <c r="P56" s="110">
        <f>ROUND(Total!G56/4,-2)</f>
        <v>0</v>
      </c>
      <c r="Q56" s="129">
        <f t="shared" si="5"/>
        <v>0</v>
      </c>
      <c r="R56" s="97"/>
      <c r="S56" s="96">
        <v>51</v>
      </c>
      <c r="T56" s="124" t="s">
        <v>53</v>
      </c>
      <c r="U56" s="51">
        <f>ROUND(Total!C56/4,-2)</f>
        <v>0</v>
      </c>
      <c r="V56" s="110">
        <f>ROUND(Total!D56/4,-2)</f>
        <v>0</v>
      </c>
      <c r="W56" s="110">
        <f>ROUND(Total!E56/4,-2)</f>
        <v>0</v>
      </c>
      <c r="X56" s="51">
        <f>ROUND(Total!F56/4,-2)</f>
        <v>0</v>
      </c>
      <c r="Y56" s="110">
        <f>ROUND(Total!G56/4,-2)</f>
        <v>0</v>
      </c>
      <c r="Z56" s="129">
        <f t="shared" si="6"/>
        <v>0</v>
      </c>
      <c r="AA56" s="97"/>
      <c r="AB56" s="96">
        <v>51</v>
      </c>
      <c r="AC56" s="124" t="s">
        <v>53</v>
      </c>
      <c r="AD56" s="51">
        <f>Total!C56-Auszahlungen!C56-Auszahlungen!L56-Auszahlungen!U56</f>
        <v>0</v>
      </c>
      <c r="AE56" s="110">
        <f>Total!D56-Auszahlungen!D56-Auszahlungen!M56-Auszahlungen!V56</f>
        <v>0</v>
      </c>
      <c r="AF56" s="110">
        <f>Total!E56-Auszahlungen!E56-Auszahlungen!N56-Auszahlungen!W56</f>
        <v>0</v>
      </c>
      <c r="AG56" s="51">
        <f>Total!F56-Auszahlungen!F56-Auszahlungen!O56-Auszahlungen!X56</f>
        <v>0</v>
      </c>
      <c r="AH56" s="110">
        <f>Total!G56-Auszahlungen!G56-Auszahlungen!P56-Auszahlungen!Y56</f>
        <v>0</v>
      </c>
      <c r="AI56" s="129">
        <f t="shared" si="7"/>
        <v>0</v>
      </c>
    </row>
    <row r="57" spans="1:35" x14ac:dyDescent="0.2">
      <c r="A57" s="96">
        <v>52</v>
      </c>
      <c r="B57" s="124" t="s">
        <v>54</v>
      </c>
      <c r="C57" s="51">
        <f>ROUND(Total!C57/4,-2)</f>
        <v>0</v>
      </c>
      <c r="D57" s="110">
        <f>ROUND(Total!D57/4,-2)</f>
        <v>0</v>
      </c>
      <c r="E57" s="110">
        <f>ROUND(Total!E57/4,-2)</f>
        <v>0</v>
      </c>
      <c r="F57" s="51">
        <f>ROUND(Total!F57/4,-2)</f>
        <v>49800</v>
      </c>
      <c r="G57" s="110">
        <f>ROUND(Total!G57/4,-2)</f>
        <v>0</v>
      </c>
      <c r="H57" s="129">
        <f t="shared" si="4"/>
        <v>49800</v>
      </c>
      <c r="I57" s="97"/>
      <c r="J57" s="96">
        <v>52</v>
      </c>
      <c r="K57" s="124" t="s">
        <v>54</v>
      </c>
      <c r="L57" s="51">
        <f>ROUND(Total!C57/4,-2)</f>
        <v>0</v>
      </c>
      <c r="M57" s="110">
        <f>ROUND(Total!D57/4,-2)</f>
        <v>0</v>
      </c>
      <c r="N57" s="110">
        <f>ROUND(Total!E57/4,-2)</f>
        <v>0</v>
      </c>
      <c r="O57" s="51">
        <f>ROUND(Total!F57/4,-2)</f>
        <v>49800</v>
      </c>
      <c r="P57" s="110">
        <f>ROUND(Total!G57/4,-2)</f>
        <v>0</v>
      </c>
      <c r="Q57" s="129">
        <f t="shared" si="5"/>
        <v>49800</v>
      </c>
      <c r="R57" s="97"/>
      <c r="S57" s="96">
        <v>52</v>
      </c>
      <c r="T57" s="124" t="s">
        <v>54</v>
      </c>
      <c r="U57" s="51">
        <f>ROUND(Total!C57/4,-2)</f>
        <v>0</v>
      </c>
      <c r="V57" s="110">
        <f>ROUND(Total!D57/4,-2)</f>
        <v>0</v>
      </c>
      <c r="W57" s="110">
        <f>ROUND(Total!E57/4,-2)</f>
        <v>0</v>
      </c>
      <c r="X57" s="51">
        <f>ROUND(Total!F57/4,-2)</f>
        <v>49800</v>
      </c>
      <c r="Y57" s="110">
        <f>ROUND(Total!G57/4,-2)</f>
        <v>0</v>
      </c>
      <c r="Z57" s="129">
        <f t="shared" si="6"/>
        <v>49800</v>
      </c>
      <c r="AA57" s="97"/>
      <c r="AB57" s="96">
        <v>52</v>
      </c>
      <c r="AC57" s="124" t="s">
        <v>54</v>
      </c>
      <c r="AD57" s="51">
        <f>Total!C57-Auszahlungen!C57-Auszahlungen!L57-Auszahlungen!U57</f>
        <v>0</v>
      </c>
      <c r="AE57" s="110">
        <f>Total!D57-Auszahlungen!D57-Auszahlungen!M57-Auszahlungen!V57</f>
        <v>0</v>
      </c>
      <c r="AF57" s="110">
        <f>Total!E57-Auszahlungen!E57-Auszahlungen!N57-Auszahlungen!W57</f>
        <v>0</v>
      </c>
      <c r="AG57" s="51">
        <f>Total!F57-Auszahlungen!F57-Auszahlungen!O57-Auszahlungen!X57</f>
        <v>49900</v>
      </c>
      <c r="AH57" s="110">
        <f>Total!G57-Auszahlungen!G57-Auszahlungen!P57-Auszahlungen!Y57</f>
        <v>0</v>
      </c>
      <c r="AI57" s="129">
        <f t="shared" si="7"/>
        <v>49900</v>
      </c>
    </row>
    <row r="58" spans="1:35" x14ac:dyDescent="0.2">
      <c r="A58" s="96">
        <v>54</v>
      </c>
      <c r="B58" s="124" t="s">
        <v>55</v>
      </c>
      <c r="C58" s="51">
        <f>ROUND(Total!C58/4,-2)</f>
        <v>323100</v>
      </c>
      <c r="D58" s="110">
        <f>ROUND(Total!D58/4,-2)</f>
        <v>357800</v>
      </c>
      <c r="E58" s="110">
        <f>ROUND(Total!E58/4,-2)</f>
        <v>258100</v>
      </c>
      <c r="F58" s="51">
        <f>ROUND(Total!F58/4,-2)</f>
        <v>0</v>
      </c>
      <c r="G58" s="110">
        <f>ROUND(Total!G58/4,-2)</f>
        <v>0</v>
      </c>
      <c r="H58" s="129">
        <f t="shared" si="4"/>
        <v>939000</v>
      </c>
      <c r="I58" s="97"/>
      <c r="J58" s="96">
        <v>54</v>
      </c>
      <c r="K58" s="124" t="s">
        <v>55</v>
      </c>
      <c r="L58" s="51">
        <f>ROUND(Total!C58/4,-2)</f>
        <v>323100</v>
      </c>
      <c r="M58" s="110">
        <f>ROUND(Total!D58/4,-2)</f>
        <v>357800</v>
      </c>
      <c r="N58" s="110">
        <f>ROUND(Total!E58/4,-2)</f>
        <v>258100</v>
      </c>
      <c r="O58" s="51">
        <f>ROUND(Total!F58/4,-2)</f>
        <v>0</v>
      </c>
      <c r="P58" s="110">
        <f>ROUND(Total!G58/4,-2)</f>
        <v>0</v>
      </c>
      <c r="Q58" s="129">
        <f t="shared" si="5"/>
        <v>939000</v>
      </c>
      <c r="R58" s="97"/>
      <c r="S58" s="96">
        <v>54</v>
      </c>
      <c r="T58" s="124" t="s">
        <v>55</v>
      </c>
      <c r="U58" s="51">
        <f>ROUND(Total!C58/4,-2)</f>
        <v>323100</v>
      </c>
      <c r="V58" s="110">
        <f>ROUND(Total!D58/4,-2)</f>
        <v>357800</v>
      </c>
      <c r="W58" s="110">
        <f>ROUND(Total!E58/4,-2)</f>
        <v>258100</v>
      </c>
      <c r="X58" s="51">
        <f>ROUND(Total!F58/4,-2)</f>
        <v>0</v>
      </c>
      <c r="Y58" s="110">
        <f>ROUND(Total!G58/4,-2)</f>
        <v>0</v>
      </c>
      <c r="Z58" s="129">
        <f t="shared" si="6"/>
        <v>939000</v>
      </c>
      <c r="AA58" s="97"/>
      <c r="AB58" s="96">
        <v>54</v>
      </c>
      <c r="AC58" s="124" t="s">
        <v>55</v>
      </c>
      <c r="AD58" s="51">
        <f>Total!C58-Auszahlungen!C58-Auszahlungen!L58-Auszahlungen!U58</f>
        <v>323000</v>
      </c>
      <c r="AE58" s="110">
        <f>Total!D58-Auszahlungen!D58-Auszahlungen!M58-Auszahlungen!V58</f>
        <v>357700</v>
      </c>
      <c r="AF58" s="110">
        <f>Total!E58-Auszahlungen!E58-Auszahlungen!N58-Auszahlungen!W58</f>
        <v>257900</v>
      </c>
      <c r="AG58" s="51">
        <f>Total!F58-Auszahlungen!F58-Auszahlungen!O58-Auszahlungen!X58</f>
        <v>0</v>
      </c>
      <c r="AH58" s="110">
        <f>Total!G58-Auszahlungen!G58-Auszahlungen!P58-Auszahlungen!Y58</f>
        <v>0</v>
      </c>
      <c r="AI58" s="129">
        <f t="shared" si="7"/>
        <v>938600</v>
      </c>
    </row>
    <row r="59" spans="1:35" x14ac:dyDescent="0.2">
      <c r="A59" s="96">
        <v>57</v>
      </c>
      <c r="B59" s="124" t="s">
        <v>56</v>
      </c>
      <c r="C59" s="51">
        <f>ROUND(Total!C59/4,-2)</f>
        <v>40300</v>
      </c>
      <c r="D59" s="110">
        <f>ROUND(Total!D59/4,-2)</f>
        <v>565500</v>
      </c>
      <c r="E59" s="110">
        <f>ROUND(Total!E59/4,-2)</f>
        <v>97300</v>
      </c>
      <c r="F59" s="51">
        <f>ROUND(Total!F59/4,-2)</f>
        <v>0</v>
      </c>
      <c r="G59" s="110">
        <f>ROUND(Total!G59/4,-2)</f>
        <v>0</v>
      </c>
      <c r="H59" s="129">
        <f t="shared" si="4"/>
        <v>703100</v>
      </c>
      <c r="I59" s="97"/>
      <c r="J59" s="96">
        <v>57</v>
      </c>
      <c r="K59" s="124" t="s">
        <v>56</v>
      </c>
      <c r="L59" s="51">
        <f>ROUND(Total!C59/4,-2)</f>
        <v>40300</v>
      </c>
      <c r="M59" s="110">
        <f>ROUND(Total!D59/4,-2)</f>
        <v>565500</v>
      </c>
      <c r="N59" s="110">
        <f>ROUND(Total!E59/4,-2)</f>
        <v>97300</v>
      </c>
      <c r="O59" s="51">
        <f>ROUND(Total!F59/4,-2)</f>
        <v>0</v>
      </c>
      <c r="P59" s="110">
        <f>ROUND(Total!G59/4,-2)</f>
        <v>0</v>
      </c>
      <c r="Q59" s="129">
        <f t="shared" si="5"/>
        <v>703100</v>
      </c>
      <c r="R59" s="97"/>
      <c r="S59" s="96">
        <v>57</v>
      </c>
      <c r="T59" s="124" t="s">
        <v>56</v>
      </c>
      <c r="U59" s="51">
        <f>ROUND(Total!C59/4,-2)</f>
        <v>40300</v>
      </c>
      <c r="V59" s="110">
        <f>ROUND(Total!D59/4,-2)</f>
        <v>565500</v>
      </c>
      <c r="W59" s="110">
        <f>ROUND(Total!E59/4,-2)</f>
        <v>97300</v>
      </c>
      <c r="X59" s="51">
        <f>ROUND(Total!F59/4,-2)</f>
        <v>0</v>
      </c>
      <c r="Y59" s="110">
        <f>ROUND(Total!G59/4,-2)</f>
        <v>0</v>
      </c>
      <c r="Z59" s="129">
        <f t="shared" si="6"/>
        <v>703100</v>
      </c>
      <c r="AA59" s="97"/>
      <c r="AB59" s="96">
        <v>57</v>
      </c>
      <c r="AC59" s="124" t="s">
        <v>56</v>
      </c>
      <c r="AD59" s="51">
        <f>Total!C59-Auszahlungen!C59-Auszahlungen!L59-Auszahlungen!U59</f>
        <v>40200</v>
      </c>
      <c r="AE59" s="110">
        <f>Total!D59-Auszahlungen!D59-Auszahlungen!M59-Auszahlungen!V59</f>
        <v>565500</v>
      </c>
      <c r="AF59" s="110">
        <f>Total!E59-Auszahlungen!E59-Auszahlungen!N59-Auszahlungen!W59</f>
        <v>97100</v>
      </c>
      <c r="AG59" s="51">
        <f>Total!F59-Auszahlungen!F59-Auszahlungen!O59-Auszahlungen!X59</f>
        <v>0</v>
      </c>
      <c r="AH59" s="110">
        <f>Total!G59-Auszahlungen!G59-Auszahlungen!P59-Auszahlungen!Y59</f>
        <v>0</v>
      </c>
      <c r="AI59" s="129">
        <f t="shared" si="7"/>
        <v>702800</v>
      </c>
    </row>
    <row r="60" spans="1:35" x14ac:dyDescent="0.2">
      <c r="A60" s="96">
        <v>60</v>
      </c>
      <c r="B60" s="124" t="s">
        <v>57</v>
      </c>
      <c r="C60" s="51">
        <f>ROUND(Total!C60/4,-2)</f>
        <v>740900</v>
      </c>
      <c r="D60" s="110">
        <f>ROUND(Total!D60/4,-2)</f>
        <v>597500</v>
      </c>
      <c r="E60" s="110">
        <f>ROUND(Total!E60/4,-2)</f>
        <v>0</v>
      </c>
      <c r="F60" s="51">
        <f>ROUND(Total!F60/4,-2)</f>
        <v>0</v>
      </c>
      <c r="G60" s="110">
        <f>ROUND(Total!G60/4,-2)</f>
        <v>0</v>
      </c>
      <c r="H60" s="129">
        <f t="shared" si="4"/>
        <v>1338400</v>
      </c>
      <c r="I60" s="97"/>
      <c r="J60" s="96">
        <v>60</v>
      </c>
      <c r="K60" s="124" t="s">
        <v>57</v>
      </c>
      <c r="L60" s="51">
        <f>ROUND(Total!C60/4,-2)</f>
        <v>740900</v>
      </c>
      <c r="M60" s="110">
        <f>ROUND(Total!D60/4,-2)</f>
        <v>597500</v>
      </c>
      <c r="N60" s="110">
        <f>ROUND(Total!E60/4,-2)</f>
        <v>0</v>
      </c>
      <c r="O60" s="51">
        <f>ROUND(Total!F60/4,-2)</f>
        <v>0</v>
      </c>
      <c r="P60" s="110">
        <f>ROUND(Total!G60/4,-2)</f>
        <v>0</v>
      </c>
      <c r="Q60" s="129">
        <f t="shared" si="5"/>
        <v>1338400</v>
      </c>
      <c r="R60" s="97"/>
      <c r="S60" s="96">
        <v>60</v>
      </c>
      <c r="T60" s="124" t="s">
        <v>57</v>
      </c>
      <c r="U60" s="51">
        <f>ROUND(Total!C60/4,-2)</f>
        <v>740900</v>
      </c>
      <c r="V60" s="110">
        <f>ROUND(Total!D60/4,-2)</f>
        <v>597500</v>
      </c>
      <c r="W60" s="110">
        <f>ROUND(Total!E60/4,-2)</f>
        <v>0</v>
      </c>
      <c r="X60" s="51">
        <f>ROUND(Total!F60/4,-2)</f>
        <v>0</v>
      </c>
      <c r="Y60" s="110">
        <f>ROUND(Total!G60/4,-2)</f>
        <v>0</v>
      </c>
      <c r="Z60" s="129">
        <f t="shared" si="6"/>
        <v>1338400</v>
      </c>
      <c r="AA60" s="97"/>
      <c r="AB60" s="96">
        <v>60</v>
      </c>
      <c r="AC60" s="124" t="s">
        <v>57</v>
      </c>
      <c r="AD60" s="51">
        <f>Total!C60-Auszahlungen!C60-Auszahlungen!L60-Auszahlungen!U60</f>
        <v>740900</v>
      </c>
      <c r="AE60" s="110">
        <f>Total!D60-Auszahlungen!D60-Auszahlungen!M60-Auszahlungen!V60</f>
        <v>597400</v>
      </c>
      <c r="AF60" s="110">
        <f>Total!E60-Auszahlungen!E60-Auszahlungen!N60-Auszahlungen!W60</f>
        <v>0</v>
      </c>
      <c r="AG60" s="51">
        <f>Total!F60-Auszahlungen!F60-Auszahlungen!O60-Auszahlungen!X60</f>
        <v>0</v>
      </c>
      <c r="AH60" s="110">
        <f>Total!G60-Auszahlungen!G60-Auszahlungen!P60-Auszahlungen!Y60</f>
        <v>0</v>
      </c>
      <c r="AI60" s="129">
        <f t="shared" si="7"/>
        <v>1338300</v>
      </c>
    </row>
    <row r="61" spans="1:35" x14ac:dyDescent="0.2">
      <c r="A61" s="96">
        <v>62</v>
      </c>
      <c r="B61" s="124" t="s">
        <v>58</v>
      </c>
      <c r="C61" s="51">
        <f>ROUND(Total!C61/4,-2)</f>
        <v>941100</v>
      </c>
      <c r="D61" s="110">
        <f>ROUND(Total!D61/4,-2)</f>
        <v>354800</v>
      </c>
      <c r="E61" s="110">
        <f>ROUND(Total!E61/4,-2)</f>
        <v>52000</v>
      </c>
      <c r="F61" s="51">
        <f>ROUND(Total!F61/4,-2)</f>
        <v>60600</v>
      </c>
      <c r="G61" s="110">
        <f>ROUND(Total!G61/4,-2)</f>
        <v>0</v>
      </c>
      <c r="H61" s="129">
        <f t="shared" si="4"/>
        <v>1408500</v>
      </c>
      <c r="I61" s="97"/>
      <c r="J61" s="96">
        <v>62</v>
      </c>
      <c r="K61" s="124" t="s">
        <v>58</v>
      </c>
      <c r="L61" s="51">
        <f>ROUND(Total!C61/4,-2)</f>
        <v>941100</v>
      </c>
      <c r="M61" s="110">
        <f>ROUND(Total!D61/4,-2)</f>
        <v>354800</v>
      </c>
      <c r="N61" s="110">
        <f>ROUND(Total!E61/4,-2)</f>
        <v>52000</v>
      </c>
      <c r="O61" s="51">
        <f>ROUND(Total!F61/4,-2)</f>
        <v>60600</v>
      </c>
      <c r="P61" s="110">
        <f>ROUND(Total!G61/4,-2)</f>
        <v>0</v>
      </c>
      <c r="Q61" s="129">
        <f t="shared" si="5"/>
        <v>1408500</v>
      </c>
      <c r="R61" s="97"/>
      <c r="S61" s="96">
        <v>62</v>
      </c>
      <c r="T61" s="124" t="s">
        <v>58</v>
      </c>
      <c r="U61" s="51">
        <f>ROUND(Total!C61/4,-2)</f>
        <v>941100</v>
      </c>
      <c r="V61" s="110">
        <f>ROUND(Total!D61/4,-2)</f>
        <v>354800</v>
      </c>
      <c r="W61" s="110">
        <f>ROUND(Total!E61/4,-2)</f>
        <v>52000</v>
      </c>
      <c r="X61" s="51">
        <f>ROUND(Total!F61/4,-2)</f>
        <v>60600</v>
      </c>
      <c r="Y61" s="110">
        <f>ROUND(Total!G61/4,-2)</f>
        <v>0</v>
      </c>
      <c r="Z61" s="129">
        <f t="shared" si="6"/>
        <v>1408500</v>
      </c>
      <c r="AA61" s="97"/>
      <c r="AB61" s="96">
        <v>62</v>
      </c>
      <c r="AC61" s="124" t="s">
        <v>58</v>
      </c>
      <c r="AD61" s="51">
        <f>Total!C61-Auszahlungen!C61-Auszahlungen!L61-Auszahlungen!U61</f>
        <v>941100</v>
      </c>
      <c r="AE61" s="110">
        <f>Total!D61-Auszahlungen!D61-Auszahlungen!M61-Auszahlungen!V61</f>
        <v>354700</v>
      </c>
      <c r="AF61" s="110">
        <f>Total!E61-Auszahlungen!E61-Auszahlungen!N61-Auszahlungen!W61</f>
        <v>51900</v>
      </c>
      <c r="AG61" s="51">
        <f>Total!F61-Auszahlungen!F61-Auszahlungen!O61-Auszahlungen!X61</f>
        <v>60700</v>
      </c>
      <c r="AH61" s="110">
        <f>Total!G61-Auszahlungen!G61-Auszahlungen!P61-Auszahlungen!Y61</f>
        <v>0</v>
      </c>
      <c r="AI61" s="129">
        <f t="shared" si="7"/>
        <v>1408400</v>
      </c>
    </row>
    <row r="62" spans="1:35" x14ac:dyDescent="0.2">
      <c r="A62" s="96">
        <v>63</v>
      </c>
      <c r="B62" s="124" t="s">
        <v>59</v>
      </c>
      <c r="C62" s="51">
        <f>ROUND(Total!C62/4,-2)</f>
        <v>1883500</v>
      </c>
      <c r="D62" s="110">
        <f>ROUND(Total!D62/4,-2)</f>
        <v>272400</v>
      </c>
      <c r="E62" s="110">
        <f>ROUND(Total!E62/4,-2)</f>
        <v>5200</v>
      </c>
      <c r="F62" s="51">
        <f>ROUND(Total!F62/4,-2)</f>
        <v>203600</v>
      </c>
      <c r="G62" s="110">
        <f>ROUND(Total!G62/4,-2)</f>
        <v>0</v>
      </c>
      <c r="H62" s="129">
        <f t="shared" si="4"/>
        <v>2364700</v>
      </c>
      <c r="I62" s="97"/>
      <c r="J62" s="96">
        <v>63</v>
      </c>
      <c r="K62" s="124" t="s">
        <v>59</v>
      </c>
      <c r="L62" s="51">
        <f>ROUND(Total!C62/4,-2)</f>
        <v>1883500</v>
      </c>
      <c r="M62" s="110">
        <f>ROUND(Total!D62/4,-2)</f>
        <v>272400</v>
      </c>
      <c r="N62" s="110">
        <f>ROUND(Total!E62/4,-2)</f>
        <v>5200</v>
      </c>
      <c r="O62" s="51">
        <f>ROUND(Total!F62/4,-2)</f>
        <v>203600</v>
      </c>
      <c r="P62" s="110">
        <f>ROUND(Total!G62/4,-2)</f>
        <v>0</v>
      </c>
      <c r="Q62" s="129">
        <f t="shared" si="5"/>
        <v>2364700</v>
      </c>
      <c r="R62" s="97"/>
      <c r="S62" s="96">
        <v>63</v>
      </c>
      <c r="T62" s="124" t="s">
        <v>59</v>
      </c>
      <c r="U62" s="51">
        <f>ROUND(Total!C62/4,-2)</f>
        <v>1883500</v>
      </c>
      <c r="V62" s="110">
        <f>ROUND(Total!D62/4,-2)</f>
        <v>272400</v>
      </c>
      <c r="W62" s="110">
        <f>ROUND(Total!E62/4,-2)</f>
        <v>5200</v>
      </c>
      <c r="X62" s="51">
        <f>ROUND(Total!F62/4,-2)</f>
        <v>203600</v>
      </c>
      <c r="Y62" s="110">
        <f>ROUND(Total!G62/4,-2)</f>
        <v>0</v>
      </c>
      <c r="Z62" s="129">
        <f t="shared" si="6"/>
        <v>2364700</v>
      </c>
      <c r="AA62" s="97"/>
      <c r="AB62" s="96">
        <v>63</v>
      </c>
      <c r="AC62" s="124" t="s">
        <v>59</v>
      </c>
      <c r="AD62" s="51">
        <f>Total!C62-Auszahlungen!C62-Auszahlungen!L62-Auszahlungen!U62</f>
        <v>1883400</v>
      </c>
      <c r="AE62" s="110">
        <f>Total!D62-Auszahlungen!D62-Auszahlungen!M62-Auszahlungen!V62</f>
        <v>272300</v>
      </c>
      <c r="AF62" s="110">
        <f>Total!E62-Auszahlungen!E62-Auszahlungen!N62-Auszahlungen!W62</f>
        <v>5300</v>
      </c>
      <c r="AG62" s="51">
        <f>Total!F62-Auszahlungen!F62-Auszahlungen!O62-Auszahlungen!X62</f>
        <v>203400</v>
      </c>
      <c r="AH62" s="110">
        <f>Total!G62-Auszahlungen!G62-Auszahlungen!P62-Auszahlungen!Y62</f>
        <v>0</v>
      </c>
      <c r="AI62" s="129">
        <f t="shared" si="7"/>
        <v>2364400</v>
      </c>
    </row>
    <row r="63" spans="1:35" x14ac:dyDescent="0.2">
      <c r="A63" s="96">
        <v>64</v>
      </c>
      <c r="B63" s="124" t="s">
        <v>60</v>
      </c>
      <c r="C63" s="51">
        <f>ROUND(Total!C63/4,-2)</f>
        <v>308900</v>
      </c>
      <c r="D63" s="110">
        <f>ROUND(Total!D63/4,-2)</f>
        <v>0</v>
      </c>
      <c r="E63" s="110">
        <f>ROUND(Total!E63/4,-2)</f>
        <v>0</v>
      </c>
      <c r="F63" s="51">
        <f>ROUND(Total!F63/4,-2)</f>
        <v>900</v>
      </c>
      <c r="G63" s="110">
        <f>ROUND(Total!G63/4,-2)</f>
        <v>0</v>
      </c>
      <c r="H63" s="129">
        <f t="shared" si="4"/>
        <v>309800</v>
      </c>
      <c r="I63" s="97"/>
      <c r="J63" s="96">
        <v>64</v>
      </c>
      <c r="K63" s="124" t="s">
        <v>60</v>
      </c>
      <c r="L63" s="51">
        <f>ROUND(Total!C63/4,-2)</f>
        <v>308900</v>
      </c>
      <c r="M63" s="110">
        <f>ROUND(Total!D63/4,-2)</f>
        <v>0</v>
      </c>
      <c r="N63" s="110">
        <f>ROUND(Total!E63/4,-2)</f>
        <v>0</v>
      </c>
      <c r="O63" s="51">
        <f>ROUND(Total!F63/4,-2)</f>
        <v>900</v>
      </c>
      <c r="P63" s="110">
        <f>ROUND(Total!G63/4,-2)</f>
        <v>0</v>
      </c>
      <c r="Q63" s="129">
        <f t="shared" si="5"/>
        <v>309800</v>
      </c>
      <c r="R63" s="97"/>
      <c r="S63" s="96">
        <v>64</v>
      </c>
      <c r="T63" s="124" t="s">
        <v>60</v>
      </c>
      <c r="U63" s="51">
        <f>ROUND(Total!C63/4,-2)</f>
        <v>308900</v>
      </c>
      <c r="V63" s="110">
        <f>ROUND(Total!D63/4,-2)</f>
        <v>0</v>
      </c>
      <c r="W63" s="110">
        <f>ROUND(Total!E63/4,-2)</f>
        <v>0</v>
      </c>
      <c r="X63" s="51">
        <f>ROUND(Total!F63/4,-2)</f>
        <v>900</v>
      </c>
      <c r="Y63" s="110">
        <f>ROUND(Total!G63/4,-2)</f>
        <v>0</v>
      </c>
      <c r="Z63" s="129">
        <f t="shared" si="6"/>
        <v>309800</v>
      </c>
      <c r="AA63" s="97"/>
      <c r="AB63" s="96">
        <v>64</v>
      </c>
      <c r="AC63" s="124" t="s">
        <v>60</v>
      </c>
      <c r="AD63" s="51">
        <f>Total!C63-Auszahlungen!C63-Auszahlungen!L63-Auszahlungen!U63</f>
        <v>309000</v>
      </c>
      <c r="AE63" s="110">
        <f>Total!D63-Auszahlungen!D63-Auszahlungen!M63-Auszahlungen!V63</f>
        <v>0</v>
      </c>
      <c r="AF63" s="110">
        <f>Total!E63-Auszahlungen!E63-Auszahlungen!N63-Auszahlungen!W63</f>
        <v>0</v>
      </c>
      <c r="AG63" s="51">
        <f>Total!F63-Auszahlungen!F63-Auszahlungen!O63-Auszahlungen!X63</f>
        <v>800</v>
      </c>
      <c r="AH63" s="110">
        <f>Total!G63-Auszahlungen!G63-Auszahlungen!P63-Auszahlungen!Y63</f>
        <v>0</v>
      </c>
      <c r="AI63" s="129">
        <f t="shared" si="7"/>
        <v>309800</v>
      </c>
    </row>
    <row r="64" spans="1:35" x14ac:dyDescent="0.2">
      <c r="A64" s="96">
        <v>66</v>
      </c>
      <c r="B64" s="124" t="s">
        <v>384</v>
      </c>
      <c r="C64" s="51">
        <f>ROUND(Total!C64/4,-2)</f>
        <v>1716200</v>
      </c>
      <c r="D64" s="110">
        <f>ROUND(Total!D64/4,-2)</f>
        <v>1267400</v>
      </c>
      <c r="E64" s="110">
        <f>ROUND(Total!E64/4,-2)</f>
        <v>352700</v>
      </c>
      <c r="F64" s="51">
        <f>ROUND(Total!F64/4,-2)</f>
        <v>31700</v>
      </c>
      <c r="G64" s="110">
        <f>ROUND(Total!G64/4,-2)</f>
        <v>0</v>
      </c>
      <c r="H64" s="129">
        <f t="shared" ref="H64" si="8">SUM(C64:G64)</f>
        <v>3368000</v>
      </c>
      <c r="I64" s="97"/>
      <c r="J64" s="96">
        <v>66</v>
      </c>
      <c r="K64" s="124" t="s">
        <v>384</v>
      </c>
      <c r="L64" s="51">
        <f>ROUND(Total!C64/4,-2)</f>
        <v>1716200</v>
      </c>
      <c r="M64" s="110">
        <f>ROUND(Total!D64/4,-2)</f>
        <v>1267400</v>
      </c>
      <c r="N64" s="110">
        <f>ROUND(Total!E64/4,-2)</f>
        <v>352700</v>
      </c>
      <c r="O64" s="51">
        <f>ROUND(Total!F64/4,-2)</f>
        <v>31700</v>
      </c>
      <c r="P64" s="110">
        <f>ROUND(Total!G64/4,-2)</f>
        <v>0</v>
      </c>
      <c r="Q64" s="129">
        <f t="shared" ref="Q64" si="9">SUM(L64:P64)</f>
        <v>3368000</v>
      </c>
      <c r="R64" s="97"/>
      <c r="S64" s="96">
        <v>66</v>
      </c>
      <c r="T64" s="124" t="s">
        <v>384</v>
      </c>
      <c r="U64" s="51">
        <f>ROUND(Total!C64/4,-2)</f>
        <v>1716200</v>
      </c>
      <c r="V64" s="110">
        <f>ROUND(Total!D64/4,-2)</f>
        <v>1267400</v>
      </c>
      <c r="W64" s="110">
        <f>ROUND(Total!E64/4,-2)</f>
        <v>352700</v>
      </c>
      <c r="X64" s="51">
        <f>ROUND(Total!F64/4,-2)</f>
        <v>31700</v>
      </c>
      <c r="Y64" s="110">
        <f>ROUND(Total!G64/4,-2)</f>
        <v>0</v>
      </c>
      <c r="Z64" s="129">
        <f t="shared" ref="Z64" si="10">SUM(U64:Y64)</f>
        <v>3368000</v>
      </c>
      <c r="AA64" s="97"/>
      <c r="AB64" s="96">
        <v>66</v>
      </c>
      <c r="AC64" s="124" t="s">
        <v>384</v>
      </c>
      <c r="AD64" s="51">
        <f>Total!C64-Auszahlungen!C64-Auszahlungen!L64-Auszahlungen!U64</f>
        <v>1716200</v>
      </c>
      <c r="AE64" s="110">
        <f>Total!D64-Auszahlungen!D64-Auszahlungen!M64-Auszahlungen!V64</f>
        <v>1267200</v>
      </c>
      <c r="AF64" s="110">
        <f>Total!E64-Auszahlungen!E64-Auszahlungen!N64-Auszahlungen!W64</f>
        <v>352500</v>
      </c>
      <c r="AG64" s="51">
        <f>Total!F64-Auszahlungen!F64-Auszahlungen!O64-Auszahlungen!X64</f>
        <v>31600</v>
      </c>
      <c r="AH64" s="110">
        <f>Total!G64-Auszahlungen!G64-Auszahlungen!P64-Auszahlungen!Y64</f>
        <v>0</v>
      </c>
      <c r="AI64" s="129">
        <f t="shared" ref="AI64" si="11">SUM(AD64:AH64)</f>
        <v>3367500</v>
      </c>
    </row>
    <row r="65" spans="1:35" x14ac:dyDescent="0.2">
      <c r="A65" s="96">
        <v>70</v>
      </c>
      <c r="B65" s="124" t="s">
        <v>61</v>
      </c>
      <c r="C65" s="51">
        <f>ROUND(Total!C65/4,-2)</f>
        <v>831800</v>
      </c>
      <c r="D65" s="110">
        <f>ROUND(Total!D65/4,-2)</f>
        <v>175200</v>
      </c>
      <c r="E65" s="110">
        <f>ROUND(Total!E65/4,-2)</f>
        <v>126600</v>
      </c>
      <c r="F65" s="51">
        <f>ROUND(Total!F65/4,-2)</f>
        <v>31000</v>
      </c>
      <c r="G65" s="110">
        <f>ROUND(Total!G65/4,-2)</f>
        <v>0</v>
      </c>
      <c r="H65" s="129">
        <f t="shared" si="4"/>
        <v>1164600</v>
      </c>
      <c r="I65" s="97"/>
      <c r="J65" s="96">
        <v>70</v>
      </c>
      <c r="K65" s="124" t="s">
        <v>61</v>
      </c>
      <c r="L65" s="51">
        <f>ROUND(Total!C65/4,-2)</f>
        <v>831800</v>
      </c>
      <c r="M65" s="110">
        <f>ROUND(Total!D65/4,-2)</f>
        <v>175200</v>
      </c>
      <c r="N65" s="110">
        <f>ROUND(Total!E65/4,-2)</f>
        <v>126600</v>
      </c>
      <c r="O65" s="51">
        <f>ROUND(Total!F65/4,-2)</f>
        <v>31000</v>
      </c>
      <c r="P65" s="110">
        <f>ROUND(Total!G65/4,-2)</f>
        <v>0</v>
      </c>
      <c r="Q65" s="129">
        <f t="shared" si="5"/>
        <v>1164600</v>
      </c>
      <c r="R65" s="97"/>
      <c r="S65" s="96">
        <v>70</v>
      </c>
      <c r="T65" s="124" t="s">
        <v>61</v>
      </c>
      <c r="U65" s="51">
        <f>ROUND(Total!C65/4,-2)</f>
        <v>831800</v>
      </c>
      <c r="V65" s="110">
        <f>ROUND(Total!D65/4,-2)</f>
        <v>175200</v>
      </c>
      <c r="W65" s="110">
        <f>ROUND(Total!E65/4,-2)</f>
        <v>126600</v>
      </c>
      <c r="X65" s="51">
        <f>ROUND(Total!F65/4,-2)</f>
        <v>31000</v>
      </c>
      <c r="Y65" s="110">
        <f>ROUND(Total!G65/4,-2)</f>
        <v>0</v>
      </c>
      <c r="Z65" s="129">
        <f t="shared" si="6"/>
        <v>1164600</v>
      </c>
      <c r="AA65" s="97"/>
      <c r="AB65" s="96">
        <v>70</v>
      </c>
      <c r="AC65" s="124" t="s">
        <v>61</v>
      </c>
      <c r="AD65" s="51">
        <f>Total!C65-Auszahlungen!C65-Auszahlungen!L65-Auszahlungen!U65</f>
        <v>831700</v>
      </c>
      <c r="AE65" s="110">
        <f>Total!D65-Auszahlungen!D65-Auszahlungen!M65-Auszahlungen!V65</f>
        <v>175200</v>
      </c>
      <c r="AF65" s="110">
        <f>Total!E65-Auszahlungen!E65-Auszahlungen!N65-Auszahlungen!W65</f>
        <v>126400</v>
      </c>
      <c r="AG65" s="51">
        <f>Total!F65-Auszahlungen!F65-Auszahlungen!O65-Auszahlungen!X65</f>
        <v>30900</v>
      </c>
      <c r="AH65" s="110">
        <f>Total!G65-Auszahlungen!G65-Auszahlungen!P65-Auszahlungen!Y65</f>
        <v>0</v>
      </c>
      <c r="AI65" s="129">
        <f t="shared" si="7"/>
        <v>1164200</v>
      </c>
    </row>
    <row r="66" spans="1:35" x14ac:dyDescent="0.2">
      <c r="A66" s="96">
        <v>71</v>
      </c>
      <c r="B66" s="124" t="s">
        <v>62</v>
      </c>
      <c r="C66" s="51">
        <f>ROUND(Total!C66/4,-2)</f>
        <v>325300</v>
      </c>
      <c r="D66" s="110">
        <f>ROUND(Total!D66/4,-2)</f>
        <v>158300</v>
      </c>
      <c r="E66" s="110">
        <f>ROUND(Total!E66/4,-2)</f>
        <v>148300</v>
      </c>
      <c r="F66" s="51">
        <f>ROUND(Total!F66/4,-2)</f>
        <v>0</v>
      </c>
      <c r="G66" s="110">
        <f>ROUND(Total!G66/4,-2)</f>
        <v>0</v>
      </c>
      <c r="H66" s="129">
        <f t="shared" si="4"/>
        <v>631900</v>
      </c>
      <c r="I66" s="97"/>
      <c r="J66" s="96">
        <v>71</v>
      </c>
      <c r="K66" s="124" t="s">
        <v>62</v>
      </c>
      <c r="L66" s="51">
        <f>ROUND(Total!C66/4,-2)</f>
        <v>325300</v>
      </c>
      <c r="M66" s="110">
        <f>ROUND(Total!D66/4,-2)</f>
        <v>158300</v>
      </c>
      <c r="N66" s="110">
        <f>ROUND(Total!E66/4,-2)</f>
        <v>148300</v>
      </c>
      <c r="O66" s="51">
        <f>ROUND(Total!F66/4,-2)</f>
        <v>0</v>
      </c>
      <c r="P66" s="110">
        <f>ROUND(Total!G66/4,-2)</f>
        <v>0</v>
      </c>
      <c r="Q66" s="129">
        <f t="shared" si="5"/>
        <v>631900</v>
      </c>
      <c r="R66" s="97"/>
      <c r="S66" s="96">
        <v>71</v>
      </c>
      <c r="T66" s="124" t="s">
        <v>62</v>
      </c>
      <c r="U66" s="51">
        <f>ROUND(Total!C66/4,-2)</f>
        <v>325300</v>
      </c>
      <c r="V66" s="110">
        <f>ROUND(Total!D66/4,-2)</f>
        <v>158300</v>
      </c>
      <c r="W66" s="110">
        <f>ROUND(Total!E66/4,-2)</f>
        <v>148300</v>
      </c>
      <c r="X66" s="51">
        <f>ROUND(Total!F66/4,-2)</f>
        <v>0</v>
      </c>
      <c r="Y66" s="110">
        <f>ROUND(Total!G66/4,-2)</f>
        <v>0</v>
      </c>
      <c r="Z66" s="129">
        <f t="shared" si="6"/>
        <v>631900</v>
      </c>
      <c r="AA66" s="97"/>
      <c r="AB66" s="96">
        <v>71</v>
      </c>
      <c r="AC66" s="124" t="s">
        <v>62</v>
      </c>
      <c r="AD66" s="51">
        <f>Total!C66-Auszahlungen!C66-Auszahlungen!L66-Auszahlungen!U66</f>
        <v>325200</v>
      </c>
      <c r="AE66" s="110">
        <f>Total!D66-Auszahlungen!D66-Auszahlungen!M66-Auszahlungen!V66</f>
        <v>158100</v>
      </c>
      <c r="AF66" s="110">
        <f>Total!E66-Auszahlungen!E66-Auszahlungen!N66-Auszahlungen!W66</f>
        <v>148300</v>
      </c>
      <c r="AG66" s="51">
        <f>Total!F66-Auszahlungen!F66-Auszahlungen!O66-Auszahlungen!X66</f>
        <v>0</v>
      </c>
      <c r="AH66" s="110">
        <f>Total!G66-Auszahlungen!G66-Auszahlungen!P66-Auszahlungen!Y66</f>
        <v>0</v>
      </c>
      <c r="AI66" s="129">
        <f t="shared" si="7"/>
        <v>631600</v>
      </c>
    </row>
    <row r="67" spans="1:35" x14ac:dyDescent="0.2">
      <c r="A67" s="96">
        <v>72</v>
      </c>
      <c r="B67" s="124" t="s">
        <v>63</v>
      </c>
      <c r="C67" s="51">
        <f>ROUND(Total!C67/4,-2)</f>
        <v>812500</v>
      </c>
      <c r="D67" s="110">
        <f>ROUND(Total!D67/4,-2)</f>
        <v>485700</v>
      </c>
      <c r="E67" s="110">
        <f>ROUND(Total!E67/4,-2)</f>
        <v>310200</v>
      </c>
      <c r="F67" s="51">
        <f>ROUND(Total!F67/4,-2)</f>
        <v>8300</v>
      </c>
      <c r="G67" s="110">
        <f>ROUND(Total!G67/4,-2)</f>
        <v>0</v>
      </c>
      <c r="H67" s="129">
        <f t="shared" si="4"/>
        <v>1616700</v>
      </c>
      <c r="I67" s="97"/>
      <c r="J67" s="96">
        <v>72</v>
      </c>
      <c r="K67" s="124" t="s">
        <v>63</v>
      </c>
      <c r="L67" s="51">
        <f>ROUND(Total!C67/4,-2)</f>
        <v>812500</v>
      </c>
      <c r="M67" s="110">
        <f>ROUND(Total!D67/4,-2)</f>
        <v>485700</v>
      </c>
      <c r="N67" s="110">
        <f>ROUND(Total!E67/4,-2)</f>
        <v>310200</v>
      </c>
      <c r="O67" s="51">
        <f>ROUND(Total!F67/4,-2)</f>
        <v>8300</v>
      </c>
      <c r="P67" s="110">
        <f>ROUND(Total!G67/4,-2)</f>
        <v>0</v>
      </c>
      <c r="Q67" s="129">
        <f t="shared" si="5"/>
        <v>1616700</v>
      </c>
      <c r="R67" s="97"/>
      <c r="S67" s="96">
        <v>72</v>
      </c>
      <c r="T67" s="124" t="s">
        <v>63</v>
      </c>
      <c r="U67" s="51">
        <f>ROUND(Total!C67/4,-2)</f>
        <v>812500</v>
      </c>
      <c r="V67" s="110">
        <f>ROUND(Total!D67/4,-2)</f>
        <v>485700</v>
      </c>
      <c r="W67" s="110">
        <f>ROUND(Total!E67/4,-2)</f>
        <v>310200</v>
      </c>
      <c r="X67" s="51">
        <f>ROUND(Total!F67/4,-2)</f>
        <v>8300</v>
      </c>
      <c r="Y67" s="110">
        <f>ROUND(Total!G67/4,-2)</f>
        <v>0</v>
      </c>
      <c r="Z67" s="129">
        <f t="shared" si="6"/>
        <v>1616700</v>
      </c>
      <c r="AA67" s="97"/>
      <c r="AB67" s="96">
        <v>72</v>
      </c>
      <c r="AC67" s="124" t="s">
        <v>63</v>
      </c>
      <c r="AD67" s="51">
        <f>Total!C67-Auszahlungen!C67-Auszahlungen!L67-Auszahlungen!U67</f>
        <v>812600</v>
      </c>
      <c r="AE67" s="110">
        <f>Total!D67-Auszahlungen!D67-Auszahlungen!M67-Auszahlungen!V67</f>
        <v>485500</v>
      </c>
      <c r="AF67" s="110">
        <f>Total!E67-Auszahlungen!E67-Auszahlungen!N67-Auszahlungen!W67</f>
        <v>310000</v>
      </c>
      <c r="AG67" s="51">
        <f>Total!F67-Auszahlungen!F67-Auszahlungen!O67-Auszahlungen!X67</f>
        <v>8200</v>
      </c>
      <c r="AH67" s="110">
        <f>Total!G67-Auszahlungen!G67-Auszahlungen!P67-Auszahlungen!Y67</f>
        <v>0</v>
      </c>
      <c r="AI67" s="129">
        <f t="shared" si="7"/>
        <v>1616300</v>
      </c>
    </row>
    <row r="68" spans="1:35" x14ac:dyDescent="0.2">
      <c r="A68" s="96">
        <v>73</v>
      </c>
      <c r="B68" s="124" t="s">
        <v>64</v>
      </c>
      <c r="C68" s="51">
        <f>ROUND(Total!C68/4,-2)</f>
        <v>1054300</v>
      </c>
      <c r="D68" s="110">
        <f>ROUND(Total!D68/4,-2)</f>
        <v>549500</v>
      </c>
      <c r="E68" s="110">
        <f>ROUND(Total!E68/4,-2)</f>
        <v>630800</v>
      </c>
      <c r="F68" s="51">
        <f>ROUND(Total!F68/4,-2)</f>
        <v>171700</v>
      </c>
      <c r="G68" s="110">
        <f>ROUND(Total!G68/4,-2)</f>
        <v>0</v>
      </c>
      <c r="H68" s="129">
        <f t="shared" si="4"/>
        <v>2406300</v>
      </c>
      <c r="I68" s="97"/>
      <c r="J68" s="96">
        <v>73</v>
      </c>
      <c r="K68" s="124" t="s">
        <v>64</v>
      </c>
      <c r="L68" s="51">
        <f>ROUND(Total!C68/4,-2)</f>
        <v>1054300</v>
      </c>
      <c r="M68" s="110">
        <f>ROUND(Total!D68/4,-2)</f>
        <v>549500</v>
      </c>
      <c r="N68" s="110">
        <f>ROUND(Total!E68/4,-2)</f>
        <v>630800</v>
      </c>
      <c r="O68" s="51">
        <f>ROUND(Total!F68/4,-2)</f>
        <v>171700</v>
      </c>
      <c r="P68" s="110">
        <f>ROUND(Total!G68/4,-2)</f>
        <v>0</v>
      </c>
      <c r="Q68" s="129">
        <f t="shared" si="5"/>
        <v>2406300</v>
      </c>
      <c r="R68" s="97"/>
      <c r="S68" s="96">
        <v>73</v>
      </c>
      <c r="T68" s="124" t="s">
        <v>64</v>
      </c>
      <c r="U68" s="51">
        <f>ROUND(Total!C68/4,-2)</f>
        <v>1054300</v>
      </c>
      <c r="V68" s="110">
        <f>ROUND(Total!D68/4,-2)</f>
        <v>549500</v>
      </c>
      <c r="W68" s="110">
        <f>ROUND(Total!E68/4,-2)</f>
        <v>630800</v>
      </c>
      <c r="X68" s="51">
        <f>ROUND(Total!F68/4,-2)</f>
        <v>171700</v>
      </c>
      <c r="Y68" s="110">
        <f>ROUND(Total!G68/4,-2)</f>
        <v>0</v>
      </c>
      <c r="Z68" s="129">
        <f t="shared" si="6"/>
        <v>2406300</v>
      </c>
      <c r="AA68" s="97"/>
      <c r="AB68" s="96">
        <v>73</v>
      </c>
      <c r="AC68" s="124" t="s">
        <v>64</v>
      </c>
      <c r="AD68" s="51">
        <f>Total!C68-Auszahlungen!C68-Auszahlungen!L68-Auszahlungen!U68</f>
        <v>1054400</v>
      </c>
      <c r="AE68" s="110">
        <f>Total!D68-Auszahlungen!D68-Auszahlungen!M68-Auszahlungen!V68</f>
        <v>549400</v>
      </c>
      <c r="AF68" s="110">
        <f>Total!E68-Auszahlungen!E68-Auszahlungen!N68-Auszahlungen!W68</f>
        <v>630600</v>
      </c>
      <c r="AG68" s="51">
        <f>Total!F68-Auszahlungen!F68-Auszahlungen!O68-Auszahlungen!X68</f>
        <v>171700</v>
      </c>
      <c r="AH68" s="110">
        <f>Total!G68-Auszahlungen!G68-Auszahlungen!P68-Auszahlungen!Y68</f>
        <v>0</v>
      </c>
      <c r="AI68" s="129">
        <f t="shared" si="7"/>
        <v>2406100</v>
      </c>
    </row>
    <row r="69" spans="1:35" x14ac:dyDescent="0.2">
      <c r="A69" s="96">
        <v>76</v>
      </c>
      <c r="B69" s="124" t="s">
        <v>65</v>
      </c>
      <c r="C69" s="51">
        <f>ROUND(Total!C69/4,-2)</f>
        <v>266700</v>
      </c>
      <c r="D69" s="110">
        <f>ROUND(Total!D69/4,-2)</f>
        <v>0</v>
      </c>
      <c r="E69" s="110">
        <f>ROUND(Total!E69/4,-2)</f>
        <v>260500</v>
      </c>
      <c r="F69" s="51">
        <f>ROUND(Total!F69/4,-2)</f>
        <v>0</v>
      </c>
      <c r="G69" s="110">
        <f>ROUND(Total!G69/4,-2)</f>
        <v>0</v>
      </c>
      <c r="H69" s="129">
        <f t="shared" si="4"/>
        <v>527200</v>
      </c>
      <c r="I69" s="97"/>
      <c r="J69" s="96">
        <v>76</v>
      </c>
      <c r="K69" s="124" t="s">
        <v>65</v>
      </c>
      <c r="L69" s="51">
        <f>ROUND(Total!C69/4,-2)</f>
        <v>266700</v>
      </c>
      <c r="M69" s="110">
        <f>ROUND(Total!D69/4,-2)</f>
        <v>0</v>
      </c>
      <c r="N69" s="110">
        <f>ROUND(Total!E69/4,-2)</f>
        <v>260500</v>
      </c>
      <c r="O69" s="51">
        <f>ROUND(Total!F69/4,-2)</f>
        <v>0</v>
      </c>
      <c r="P69" s="110">
        <f>ROUND(Total!G69/4,-2)</f>
        <v>0</v>
      </c>
      <c r="Q69" s="129">
        <f t="shared" si="5"/>
        <v>527200</v>
      </c>
      <c r="R69" s="97"/>
      <c r="S69" s="96">
        <v>76</v>
      </c>
      <c r="T69" s="124" t="s">
        <v>65</v>
      </c>
      <c r="U69" s="51">
        <f>ROUND(Total!C69/4,-2)</f>
        <v>266700</v>
      </c>
      <c r="V69" s="110">
        <f>ROUND(Total!D69/4,-2)</f>
        <v>0</v>
      </c>
      <c r="W69" s="110">
        <f>ROUND(Total!E69/4,-2)</f>
        <v>260500</v>
      </c>
      <c r="X69" s="51">
        <f>ROUND(Total!F69/4,-2)</f>
        <v>0</v>
      </c>
      <c r="Y69" s="110">
        <f>ROUND(Total!G69/4,-2)</f>
        <v>0</v>
      </c>
      <c r="Z69" s="129">
        <f t="shared" si="6"/>
        <v>527200</v>
      </c>
      <c r="AA69" s="97"/>
      <c r="AB69" s="96">
        <v>76</v>
      </c>
      <c r="AC69" s="124" t="s">
        <v>65</v>
      </c>
      <c r="AD69" s="51">
        <f>Total!C69-Auszahlungen!C69-Auszahlungen!L69-Auszahlungen!U69</f>
        <v>266700</v>
      </c>
      <c r="AE69" s="110">
        <f>Total!D69-Auszahlungen!D69-Auszahlungen!M69-Auszahlungen!V69</f>
        <v>0</v>
      </c>
      <c r="AF69" s="110">
        <f>Total!E69-Auszahlungen!E69-Auszahlungen!N69-Auszahlungen!W69</f>
        <v>260400</v>
      </c>
      <c r="AG69" s="51">
        <f>Total!F69-Auszahlungen!F69-Auszahlungen!O69-Auszahlungen!X69</f>
        <v>0</v>
      </c>
      <c r="AH69" s="110">
        <f>Total!G69-Auszahlungen!G69-Auszahlungen!P69-Auszahlungen!Y69</f>
        <v>0</v>
      </c>
      <c r="AI69" s="129">
        <f t="shared" si="7"/>
        <v>527100</v>
      </c>
    </row>
    <row r="70" spans="1:35" x14ac:dyDescent="0.2">
      <c r="A70" s="96">
        <v>77</v>
      </c>
      <c r="B70" s="124" t="s">
        <v>66</v>
      </c>
      <c r="C70" s="51">
        <f>ROUND(Total!C70/4,-2)</f>
        <v>530500</v>
      </c>
      <c r="D70" s="110">
        <f>ROUND(Total!D70/4,-2)</f>
        <v>0</v>
      </c>
      <c r="E70" s="110">
        <f>ROUND(Total!E70/4,-2)</f>
        <v>196300</v>
      </c>
      <c r="F70" s="51">
        <f>ROUND(Total!F70/4,-2)</f>
        <v>0</v>
      </c>
      <c r="G70" s="110">
        <f>ROUND(Total!G70/4,-2)</f>
        <v>0</v>
      </c>
      <c r="H70" s="129">
        <f t="shared" ref="H70:H82" si="12">SUM(C70:G70)</f>
        <v>726800</v>
      </c>
      <c r="I70" s="97"/>
      <c r="J70" s="96">
        <v>77</v>
      </c>
      <c r="K70" s="124" t="s">
        <v>66</v>
      </c>
      <c r="L70" s="51">
        <f>ROUND(Total!C70/4,-2)</f>
        <v>530500</v>
      </c>
      <c r="M70" s="110">
        <f>ROUND(Total!D70/4,-2)</f>
        <v>0</v>
      </c>
      <c r="N70" s="110">
        <f>ROUND(Total!E70/4,-2)</f>
        <v>196300</v>
      </c>
      <c r="O70" s="51">
        <f>ROUND(Total!F70/4,-2)</f>
        <v>0</v>
      </c>
      <c r="P70" s="110">
        <f>ROUND(Total!G70/4,-2)</f>
        <v>0</v>
      </c>
      <c r="Q70" s="129">
        <f t="shared" ref="Q70:Q82" si="13">SUM(L70:P70)</f>
        <v>726800</v>
      </c>
      <c r="R70" s="97"/>
      <c r="S70" s="96">
        <v>77</v>
      </c>
      <c r="T70" s="124" t="s">
        <v>66</v>
      </c>
      <c r="U70" s="51">
        <f>ROUND(Total!C70/4,-2)</f>
        <v>530500</v>
      </c>
      <c r="V70" s="110">
        <f>ROUND(Total!D70/4,-2)</f>
        <v>0</v>
      </c>
      <c r="W70" s="110">
        <f>ROUND(Total!E70/4,-2)</f>
        <v>196300</v>
      </c>
      <c r="X70" s="51">
        <f>ROUND(Total!F70/4,-2)</f>
        <v>0</v>
      </c>
      <c r="Y70" s="110">
        <f>ROUND(Total!G70/4,-2)</f>
        <v>0</v>
      </c>
      <c r="Z70" s="129">
        <f t="shared" ref="Z70:Z82" si="14">SUM(U70:Y70)</f>
        <v>726800</v>
      </c>
      <c r="AA70" s="97"/>
      <c r="AB70" s="96">
        <v>77</v>
      </c>
      <c r="AC70" s="124" t="s">
        <v>66</v>
      </c>
      <c r="AD70" s="51">
        <f>Total!C70-Auszahlungen!C70-Auszahlungen!L70-Auszahlungen!U70</f>
        <v>530500</v>
      </c>
      <c r="AE70" s="110">
        <f>Total!D70-Auszahlungen!D70-Auszahlungen!M70-Auszahlungen!V70</f>
        <v>0</v>
      </c>
      <c r="AF70" s="110">
        <f>Total!E70-Auszahlungen!E70-Auszahlungen!N70-Auszahlungen!W70</f>
        <v>196100</v>
      </c>
      <c r="AG70" s="51">
        <f>Total!F70-Auszahlungen!F70-Auszahlungen!O70-Auszahlungen!X70</f>
        <v>0</v>
      </c>
      <c r="AH70" s="110">
        <f>Total!G70-Auszahlungen!G70-Auszahlungen!P70-Auszahlungen!Y70</f>
        <v>0</v>
      </c>
      <c r="AI70" s="129">
        <f t="shared" ref="AI70:AI82" si="15">SUM(AD70:AH70)</f>
        <v>726600</v>
      </c>
    </row>
    <row r="71" spans="1:35" x14ac:dyDescent="0.2">
      <c r="A71" s="96">
        <v>78</v>
      </c>
      <c r="B71" s="124" t="s">
        <v>67</v>
      </c>
      <c r="C71" s="51">
        <f>ROUND(Total!C71/4,-2)</f>
        <v>1457800</v>
      </c>
      <c r="D71" s="110">
        <f>ROUND(Total!D71/4,-2)</f>
        <v>0</v>
      </c>
      <c r="E71" s="110">
        <f>ROUND(Total!E71/4,-2)</f>
        <v>451700</v>
      </c>
      <c r="F71" s="51">
        <f>ROUND(Total!F71/4,-2)</f>
        <v>0</v>
      </c>
      <c r="G71" s="110">
        <f>ROUND(Total!G71/4,-2)</f>
        <v>0</v>
      </c>
      <c r="H71" s="129">
        <f t="shared" si="12"/>
        <v>1909500</v>
      </c>
      <c r="I71" s="97"/>
      <c r="J71" s="96">
        <v>78</v>
      </c>
      <c r="K71" s="124" t="s">
        <v>67</v>
      </c>
      <c r="L71" s="51">
        <f>ROUND(Total!C71/4,-2)</f>
        <v>1457800</v>
      </c>
      <c r="M71" s="110">
        <f>ROUND(Total!D71/4,-2)</f>
        <v>0</v>
      </c>
      <c r="N71" s="110">
        <f>ROUND(Total!E71/4,-2)</f>
        <v>451700</v>
      </c>
      <c r="O71" s="51">
        <f>ROUND(Total!F71/4,-2)</f>
        <v>0</v>
      </c>
      <c r="P71" s="110">
        <f>ROUND(Total!G71/4,-2)</f>
        <v>0</v>
      </c>
      <c r="Q71" s="129">
        <f t="shared" si="13"/>
        <v>1909500</v>
      </c>
      <c r="R71" s="97"/>
      <c r="S71" s="96">
        <v>78</v>
      </c>
      <c r="T71" s="124" t="s">
        <v>67</v>
      </c>
      <c r="U71" s="51">
        <f>ROUND(Total!C71/4,-2)</f>
        <v>1457800</v>
      </c>
      <c r="V71" s="110">
        <f>ROUND(Total!D71/4,-2)</f>
        <v>0</v>
      </c>
      <c r="W71" s="110">
        <f>ROUND(Total!E71/4,-2)</f>
        <v>451700</v>
      </c>
      <c r="X71" s="51">
        <f>ROUND(Total!F71/4,-2)</f>
        <v>0</v>
      </c>
      <c r="Y71" s="110">
        <f>ROUND(Total!G71/4,-2)</f>
        <v>0</v>
      </c>
      <c r="Z71" s="129">
        <f t="shared" si="14"/>
        <v>1909500</v>
      </c>
      <c r="AA71" s="97"/>
      <c r="AB71" s="96">
        <v>78</v>
      </c>
      <c r="AC71" s="124" t="s">
        <v>67</v>
      </c>
      <c r="AD71" s="51">
        <f>Total!C71-Auszahlungen!C71-Auszahlungen!L71-Auszahlungen!U71</f>
        <v>1457700</v>
      </c>
      <c r="AE71" s="110">
        <f>Total!D71-Auszahlungen!D71-Auszahlungen!M71-Auszahlungen!V71</f>
        <v>0</v>
      </c>
      <c r="AF71" s="110">
        <f>Total!E71-Auszahlungen!E71-Auszahlungen!N71-Auszahlungen!W71</f>
        <v>451800</v>
      </c>
      <c r="AG71" s="51">
        <f>Total!F71-Auszahlungen!F71-Auszahlungen!O71-Auszahlungen!X71</f>
        <v>0</v>
      </c>
      <c r="AH71" s="110">
        <f>Total!G71-Auszahlungen!G71-Auszahlungen!P71-Auszahlungen!Y71</f>
        <v>0</v>
      </c>
      <c r="AI71" s="129">
        <f t="shared" si="15"/>
        <v>1909500</v>
      </c>
    </row>
    <row r="72" spans="1:35" x14ac:dyDescent="0.2">
      <c r="A72" s="96">
        <v>79</v>
      </c>
      <c r="B72" s="124" t="s">
        <v>68</v>
      </c>
      <c r="C72" s="51">
        <f>ROUND(Total!C72/4,-2)</f>
        <v>1470700</v>
      </c>
      <c r="D72" s="110">
        <f>ROUND(Total!D72/4,-2)</f>
        <v>0</v>
      </c>
      <c r="E72" s="110">
        <f>ROUND(Total!E72/4,-2)</f>
        <v>399200</v>
      </c>
      <c r="F72" s="51">
        <f>ROUND(Total!F72/4,-2)</f>
        <v>86200</v>
      </c>
      <c r="G72" s="110">
        <f>ROUND(Total!G72/4,-2)</f>
        <v>0</v>
      </c>
      <c r="H72" s="129">
        <f t="shared" si="12"/>
        <v>1956100</v>
      </c>
      <c r="I72" s="97"/>
      <c r="J72" s="96">
        <v>79</v>
      </c>
      <c r="K72" s="124" t="s">
        <v>68</v>
      </c>
      <c r="L72" s="51">
        <f>ROUND(Total!C72/4,-2)</f>
        <v>1470700</v>
      </c>
      <c r="M72" s="110">
        <f>ROUND(Total!D72/4,-2)</f>
        <v>0</v>
      </c>
      <c r="N72" s="110">
        <f>ROUND(Total!E72/4,-2)</f>
        <v>399200</v>
      </c>
      <c r="O72" s="51">
        <f>ROUND(Total!F72/4,-2)</f>
        <v>86200</v>
      </c>
      <c r="P72" s="110">
        <f>ROUND(Total!G72/4,-2)</f>
        <v>0</v>
      </c>
      <c r="Q72" s="129">
        <f t="shared" si="13"/>
        <v>1956100</v>
      </c>
      <c r="R72" s="97"/>
      <c r="S72" s="96">
        <v>79</v>
      </c>
      <c r="T72" s="124" t="s">
        <v>68</v>
      </c>
      <c r="U72" s="51">
        <f>ROUND(Total!C72/4,-2)</f>
        <v>1470700</v>
      </c>
      <c r="V72" s="110">
        <f>ROUND(Total!D72/4,-2)</f>
        <v>0</v>
      </c>
      <c r="W72" s="110">
        <f>ROUND(Total!E72/4,-2)</f>
        <v>399200</v>
      </c>
      <c r="X72" s="51">
        <f>ROUND(Total!F72/4,-2)</f>
        <v>86200</v>
      </c>
      <c r="Y72" s="110">
        <f>ROUND(Total!G72/4,-2)</f>
        <v>0</v>
      </c>
      <c r="Z72" s="129">
        <f t="shared" si="14"/>
        <v>1956100</v>
      </c>
      <c r="AA72" s="97"/>
      <c r="AB72" s="96">
        <v>79</v>
      </c>
      <c r="AC72" s="124" t="s">
        <v>68</v>
      </c>
      <c r="AD72" s="51">
        <f>Total!C72-Auszahlungen!C72-Auszahlungen!L72-Auszahlungen!U72</f>
        <v>1470800</v>
      </c>
      <c r="AE72" s="110">
        <f>Total!D72-Auszahlungen!D72-Auszahlungen!M72-Auszahlungen!V72</f>
        <v>0</v>
      </c>
      <c r="AF72" s="110">
        <f>Total!E72-Auszahlungen!E72-Auszahlungen!N72-Auszahlungen!W72</f>
        <v>399000</v>
      </c>
      <c r="AG72" s="51">
        <f>Total!F72-Auszahlungen!F72-Auszahlungen!O72-Auszahlungen!X72</f>
        <v>86000</v>
      </c>
      <c r="AH72" s="110">
        <f>Total!G72-Auszahlungen!G72-Auszahlungen!P72-Auszahlungen!Y72</f>
        <v>0</v>
      </c>
      <c r="AI72" s="129">
        <f t="shared" si="15"/>
        <v>1955800</v>
      </c>
    </row>
    <row r="73" spans="1:35" x14ac:dyDescent="0.2">
      <c r="A73" s="96">
        <v>80</v>
      </c>
      <c r="B73" s="124" t="s">
        <v>69</v>
      </c>
      <c r="C73" s="51">
        <f>ROUND(Total!C73/4,-2)</f>
        <v>790000</v>
      </c>
      <c r="D73" s="110">
        <f>ROUND(Total!D73/4,-2)</f>
        <v>224700</v>
      </c>
      <c r="E73" s="110">
        <f>ROUND(Total!E73/4,-2)</f>
        <v>285100</v>
      </c>
      <c r="F73" s="51">
        <f>ROUND(Total!F73/4,-2)</f>
        <v>61200</v>
      </c>
      <c r="G73" s="110">
        <f>ROUND(Total!G73/4,-2)</f>
        <v>0</v>
      </c>
      <c r="H73" s="129">
        <f t="shared" si="12"/>
        <v>1361000</v>
      </c>
      <c r="I73" s="97"/>
      <c r="J73" s="96">
        <v>80</v>
      </c>
      <c r="K73" s="124" t="s">
        <v>69</v>
      </c>
      <c r="L73" s="51">
        <f>ROUND(Total!C73/4,-2)</f>
        <v>790000</v>
      </c>
      <c r="M73" s="110">
        <f>ROUND(Total!D73/4,-2)</f>
        <v>224700</v>
      </c>
      <c r="N73" s="110">
        <f>ROUND(Total!E73/4,-2)</f>
        <v>285100</v>
      </c>
      <c r="O73" s="51">
        <f>ROUND(Total!F73/4,-2)</f>
        <v>61200</v>
      </c>
      <c r="P73" s="110">
        <f>ROUND(Total!G73/4,-2)</f>
        <v>0</v>
      </c>
      <c r="Q73" s="129">
        <f t="shared" si="13"/>
        <v>1361000</v>
      </c>
      <c r="R73" s="97"/>
      <c r="S73" s="96">
        <v>80</v>
      </c>
      <c r="T73" s="124" t="s">
        <v>69</v>
      </c>
      <c r="U73" s="51">
        <f>ROUND(Total!C73/4,-2)</f>
        <v>790000</v>
      </c>
      <c r="V73" s="110">
        <f>ROUND(Total!D73/4,-2)</f>
        <v>224700</v>
      </c>
      <c r="W73" s="110">
        <f>ROUND(Total!E73/4,-2)</f>
        <v>285100</v>
      </c>
      <c r="X73" s="51">
        <f>ROUND(Total!F73/4,-2)</f>
        <v>61200</v>
      </c>
      <c r="Y73" s="110">
        <f>ROUND(Total!G73/4,-2)</f>
        <v>0</v>
      </c>
      <c r="Z73" s="129">
        <f t="shared" si="14"/>
        <v>1361000</v>
      </c>
      <c r="AA73" s="97"/>
      <c r="AB73" s="96">
        <v>80</v>
      </c>
      <c r="AC73" s="124" t="s">
        <v>69</v>
      </c>
      <c r="AD73" s="51">
        <f>Total!C73-Auszahlungen!C73-Auszahlungen!L73-Auszahlungen!U73</f>
        <v>789900</v>
      </c>
      <c r="AE73" s="110">
        <f>Total!D73-Auszahlungen!D73-Auszahlungen!M73-Auszahlungen!V73</f>
        <v>224500</v>
      </c>
      <c r="AF73" s="110">
        <f>Total!E73-Auszahlungen!E73-Auszahlungen!N73-Auszahlungen!W73</f>
        <v>285100</v>
      </c>
      <c r="AG73" s="51">
        <f>Total!F73-Auszahlungen!F73-Auszahlungen!O73-Auszahlungen!X73</f>
        <v>61200</v>
      </c>
      <c r="AH73" s="110">
        <f>Total!G73-Auszahlungen!G73-Auszahlungen!P73-Auszahlungen!Y73</f>
        <v>0</v>
      </c>
      <c r="AI73" s="129">
        <f t="shared" si="15"/>
        <v>1360700</v>
      </c>
    </row>
    <row r="74" spans="1:35" x14ac:dyDescent="0.2">
      <c r="A74" s="96">
        <v>81</v>
      </c>
      <c r="B74" s="124" t="s">
        <v>70</v>
      </c>
      <c r="C74" s="51">
        <f>ROUND(Total!C74/4,-2)</f>
        <v>0</v>
      </c>
      <c r="D74" s="110">
        <f>ROUND(Total!D74/4,-2)</f>
        <v>0</v>
      </c>
      <c r="E74" s="110">
        <f>ROUND(Total!E74/4,-2)</f>
        <v>0</v>
      </c>
      <c r="F74" s="51">
        <f>ROUND(Total!F74/4,-2)</f>
        <v>681700</v>
      </c>
      <c r="G74" s="110">
        <f>ROUND(Total!G74/4,-2)</f>
        <v>0</v>
      </c>
      <c r="H74" s="129">
        <f t="shared" si="12"/>
        <v>681700</v>
      </c>
      <c r="I74" s="97"/>
      <c r="J74" s="96">
        <v>81</v>
      </c>
      <c r="K74" s="124" t="s">
        <v>70</v>
      </c>
      <c r="L74" s="51">
        <f>ROUND(Total!C74/4,-2)</f>
        <v>0</v>
      </c>
      <c r="M74" s="110">
        <f>ROUND(Total!D74/4,-2)</f>
        <v>0</v>
      </c>
      <c r="N74" s="110">
        <f>ROUND(Total!E74/4,-2)</f>
        <v>0</v>
      </c>
      <c r="O74" s="51">
        <f>ROUND(Total!F74/4,-2)</f>
        <v>681700</v>
      </c>
      <c r="P74" s="110">
        <f>ROUND(Total!G74/4,-2)</f>
        <v>0</v>
      </c>
      <c r="Q74" s="129">
        <f t="shared" si="13"/>
        <v>681700</v>
      </c>
      <c r="R74" s="97"/>
      <c r="S74" s="96">
        <v>81</v>
      </c>
      <c r="T74" s="124" t="s">
        <v>70</v>
      </c>
      <c r="U74" s="51">
        <f>ROUND(Total!C74/4,-2)</f>
        <v>0</v>
      </c>
      <c r="V74" s="110">
        <f>ROUND(Total!D74/4,-2)</f>
        <v>0</v>
      </c>
      <c r="W74" s="110">
        <f>ROUND(Total!E74/4,-2)</f>
        <v>0</v>
      </c>
      <c r="X74" s="51">
        <f>ROUND(Total!F74/4,-2)</f>
        <v>681700</v>
      </c>
      <c r="Y74" s="110">
        <f>ROUND(Total!G74/4,-2)</f>
        <v>0</v>
      </c>
      <c r="Z74" s="129">
        <f t="shared" si="14"/>
        <v>681700</v>
      </c>
      <c r="AA74" s="97"/>
      <c r="AB74" s="96">
        <v>81</v>
      </c>
      <c r="AC74" s="124" t="s">
        <v>70</v>
      </c>
      <c r="AD74" s="51">
        <f>Total!C74-Auszahlungen!C74-Auszahlungen!L74-Auszahlungen!U74</f>
        <v>0</v>
      </c>
      <c r="AE74" s="110">
        <f>Total!D74-Auszahlungen!D74-Auszahlungen!M74-Auszahlungen!V74</f>
        <v>0</v>
      </c>
      <c r="AF74" s="110">
        <f>Total!E74-Auszahlungen!E74-Auszahlungen!N74-Auszahlungen!W74</f>
        <v>0</v>
      </c>
      <c r="AG74" s="51">
        <f>Total!F74-Auszahlungen!F74-Auszahlungen!O74-Auszahlungen!X74</f>
        <v>681600</v>
      </c>
      <c r="AH74" s="110">
        <f>Total!G74-Auszahlungen!G74-Auszahlungen!P74-Auszahlungen!Y74</f>
        <v>0</v>
      </c>
      <c r="AI74" s="129">
        <f t="shared" si="15"/>
        <v>681600</v>
      </c>
    </row>
    <row r="75" spans="1:35" x14ac:dyDescent="0.2">
      <c r="A75" s="96">
        <v>83</v>
      </c>
      <c r="B75" s="124" t="s">
        <v>71</v>
      </c>
      <c r="C75" s="51">
        <f>ROUND(Total!C75/4,-2)</f>
        <v>0</v>
      </c>
      <c r="D75" s="110">
        <f>ROUND(Total!D75/4,-2)</f>
        <v>0</v>
      </c>
      <c r="E75" s="110">
        <f>ROUND(Total!E75/4,-2)</f>
        <v>0</v>
      </c>
      <c r="F75" s="51">
        <f>ROUND(Total!F75/4,-2)</f>
        <v>0</v>
      </c>
      <c r="G75" s="110">
        <f>ROUND(Total!G75/4,-2)</f>
        <v>0</v>
      </c>
      <c r="H75" s="129">
        <f t="shared" si="12"/>
        <v>0</v>
      </c>
      <c r="I75" s="97"/>
      <c r="J75" s="96">
        <v>83</v>
      </c>
      <c r="K75" s="124" t="s">
        <v>71</v>
      </c>
      <c r="L75" s="51">
        <f>ROUND(Total!C75/4,-2)</f>
        <v>0</v>
      </c>
      <c r="M75" s="110">
        <f>ROUND(Total!D75/4,-2)</f>
        <v>0</v>
      </c>
      <c r="N75" s="110">
        <f>ROUND(Total!E75/4,-2)</f>
        <v>0</v>
      </c>
      <c r="O75" s="51">
        <f>ROUND(Total!F75/4,-2)</f>
        <v>0</v>
      </c>
      <c r="P75" s="110">
        <f>ROUND(Total!G75/4,-2)</f>
        <v>0</v>
      </c>
      <c r="Q75" s="129">
        <f t="shared" si="13"/>
        <v>0</v>
      </c>
      <c r="R75" s="97"/>
      <c r="S75" s="96">
        <v>83</v>
      </c>
      <c r="T75" s="124" t="s">
        <v>71</v>
      </c>
      <c r="U75" s="51">
        <f>ROUND(Total!C75/4,-2)</f>
        <v>0</v>
      </c>
      <c r="V75" s="110">
        <f>ROUND(Total!D75/4,-2)</f>
        <v>0</v>
      </c>
      <c r="W75" s="110">
        <f>ROUND(Total!E75/4,-2)</f>
        <v>0</v>
      </c>
      <c r="X75" s="51">
        <f>ROUND(Total!F75/4,-2)</f>
        <v>0</v>
      </c>
      <c r="Y75" s="110">
        <f>ROUND(Total!G75/4,-2)</f>
        <v>0</v>
      </c>
      <c r="Z75" s="129">
        <f t="shared" si="14"/>
        <v>0</v>
      </c>
      <c r="AA75" s="97"/>
      <c r="AB75" s="96">
        <v>83</v>
      </c>
      <c r="AC75" s="124" t="s">
        <v>71</v>
      </c>
      <c r="AD75" s="51">
        <f>Total!C75-Auszahlungen!C75-Auszahlungen!L75-Auszahlungen!U75</f>
        <v>0</v>
      </c>
      <c r="AE75" s="110">
        <f>Total!D75-Auszahlungen!D75-Auszahlungen!M75-Auszahlungen!V75</f>
        <v>0</v>
      </c>
      <c r="AF75" s="110">
        <f>Total!E75-Auszahlungen!E75-Auszahlungen!N75-Auszahlungen!W75</f>
        <v>0</v>
      </c>
      <c r="AG75" s="51">
        <f>Total!F75-Auszahlungen!F75-Auszahlungen!O75-Auszahlungen!X75</f>
        <v>0</v>
      </c>
      <c r="AH75" s="110">
        <f>Total!G75-Auszahlungen!G75-Auszahlungen!P75-Auszahlungen!Y75</f>
        <v>0</v>
      </c>
      <c r="AI75" s="129">
        <f t="shared" si="15"/>
        <v>0</v>
      </c>
    </row>
    <row r="76" spans="1:35" x14ac:dyDescent="0.2">
      <c r="A76" s="96">
        <v>84</v>
      </c>
      <c r="B76" s="124" t="s">
        <v>72</v>
      </c>
      <c r="C76" s="51">
        <f>ROUND(Total!C76/4,-2)</f>
        <v>0</v>
      </c>
      <c r="D76" s="110">
        <f>ROUND(Total!D76/4,-2)</f>
        <v>184800</v>
      </c>
      <c r="E76" s="110">
        <f>ROUND(Total!E76/4,-2)</f>
        <v>129800</v>
      </c>
      <c r="F76" s="51">
        <f>ROUND(Total!F76/4,-2)</f>
        <v>0</v>
      </c>
      <c r="G76" s="110">
        <f>ROUND(Total!G76/4,-2)</f>
        <v>0</v>
      </c>
      <c r="H76" s="129">
        <f t="shared" si="12"/>
        <v>314600</v>
      </c>
      <c r="I76" s="97"/>
      <c r="J76" s="96">
        <v>84</v>
      </c>
      <c r="K76" s="124" t="s">
        <v>72</v>
      </c>
      <c r="L76" s="51">
        <f>ROUND(Total!C76/4,-2)</f>
        <v>0</v>
      </c>
      <c r="M76" s="110">
        <f>ROUND(Total!D76/4,-2)</f>
        <v>184800</v>
      </c>
      <c r="N76" s="110">
        <f>ROUND(Total!E76/4,-2)</f>
        <v>129800</v>
      </c>
      <c r="O76" s="51">
        <f>ROUND(Total!F76/4,-2)</f>
        <v>0</v>
      </c>
      <c r="P76" s="110">
        <f>ROUND(Total!G76/4,-2)</f>
        <v>0</v>
      </c>
      <c r="Q76" s="129">
        <f t="shared" si="13"/>
        <v>314600</v>
      </c>
      <c r="R76" s="97"/>
      <c r="S76" s="96">
        <v>84</v>
      </c>
      <c r="T76" s="124" t="s">
        <v>72</v>
      </c>
      <c r="U76" s="51">
        <f>ROUND(Total!C76/4,-2)</f>
        <v>0</v>
      </c>
      <c r="V76" s="110">
        <f>ROUND(Total!D76/4,-2)</f>
        <v>184800</v>
      </c>
      <c r="W76" s="110">
        <f>ROUND(Total!E76/4,-2)</f>
        <v>129800</v>
      </c>
      <c r="X76" s="51">
        <f>ROUND(Total!F76/4,-2)</f>
        <v>0</v>
      </c>
      <c r="Y76" s="110">
        <f>ROUND(Total!G76/4,-2)</f>
        <v>0</v>
      </c>
      <c r="Z76" s="129">
        <f t="shared" si="14"/>
        <v>314600</v>
      </c>
      <c r="AA76" s="97"/>
      <c r="AB76" s="96">
        <v>84</v>
      </c>
      <c r="AC76" s="124" t="s">
        <v>72</v>
      </c>
      <c r="AD76" s="51">
        <f>Total!C76-Auszahlungen!C76-Auszahlungen!L76-Auszahlungen!U76</f>
        <v>0</v>
      </c>
      <c r="AE76" s="110">
        <f>Total!D76-Auszahlungen!D76-Auszahlungen!M76-Auszahlungen!V76</f>
        <v>184700</v>
      </c>
      <c r="AF76" s="110">
        <f>Total!E76-Auszahlungen!E76-Auszahlungen!N76-Auszahlungen!W76</f>
        <v>129600</v>
      </c>
      <c r="AG76" s="51">
        <f>Total!F76-Auszahlungen!F76-Auszahlungen!O76-Auszahlungen!X76</f>
        <v>0</v>
      </c>
      <c r="AH76" s="110">
        <f>Total!G76-Auszahlungen!G76-Auszahlungen!P76-Auszahlungen!Y76</f>
        <v>0</v>
      </c>
      <c r="AI76" s="129">
        <f t="shared" si="15"/>
        <v>314300</v>
      </c>
    </row>
    <row r="77" spans="1:35" x14ac:dyDescent="0.2">
      <c r="A77" s="96">
        <v>85</v>
      </c>
      <c r="B77" s="124" t="s">
        <v>73</v>
      </c>
      <c r="C77" s="51">
        <f>ROUND(Total!C77/4,-2)</f>
        <v>163900</v>
      </c>
      <c r="D77" s="110">
        <f>ROUND(Total!D77/4,-2)</f>
        <v>137100</v>
      </c>
      <c r="E77" s="110">
        <f>ROUND(Total!E77/4,-2)</f>
        <v>133900</v>
      </c>
      <c r="F77" s="51">
        <f>ROUND(Total!F77/4,-2)</f>
        <v>0</v>
      </c>
      <c r="G77" s="110">
        <f>ROUND(Total!G77/4,-2)</f>
        <v>0</v>
      </c>
      <c r="H77" s="129">
        <f t="shared" si="12"/>
        <v>434900</v>
      </c>
      <c r="I77" s="97"/>
      <c r="J77" s="96">
        <v>85</v>
      </c>
      <c r="K77" s="124" t="s">
        <v>73</v>
      </c>
      <c r="L77" s="51">
        <f>ROUND(Total!C77/4,-2)</f>
        <v>163900</v>
      </c>
      <c r="M77" s="110">
        <f>ROUND(Total!D77/4,-2)</f>
        <v>137100</v>
      </c>
      <c r="N77" s="110">
        <f>ROUND(Total!E77/4,-2)</f>
        <v>133900</v>
      </c>
      <c r="O77" s="51">
        <f>ROUND(Total!F77/4,-2)</f>
        <v>0</v>
      </c>
      <c r="P77" s="110">
        <f>ROUND(Total!G77/4,-2)</f>
        <v>0</v>
      </c>
      <c r="Q77" s="129">
        <f t="shared" si="13"/>
        <v>434900</v>
      </c>
      <c r="R77" s="97"/>
      <c r="S77" s="96">
        <v>85</v>
      </c>
      <c r="T77" s="124" t="s">
        <v>73</v>
      </c>
      <c r="U77" s="51">
        <f>ROUND(Total!C77/4,-2)</f>
        <v>163900</v>
      </c>
      <c r="V77" s="110">
        <f>ROUND(Total!D77/4,-2)</f>
        <v>137100</v>
      </c>
      <c r="W77" s="110">
        <f>ROUND(Total!E77/4,-2)</f>
        <v>133900</v>
      </c>
      <c r="X77" s="51">
        <f>ROUND(Total!F77/4,-2)</f>
        <v>0</v>
      </c>
      <c r="Y77" s="110">
        <f>ROUND(Total!G77/4,-2)</f>
        <v>0</v>
      </c>
      <c r="Z77" s="129">
        <f t="shared" si="14"/>
        <v>434900</v>
      </c>
      <c r="AA77" s="97"/>
      <c r="AB77" s="96">
        <v>85</v>
      </c>
      <c r="AC77" s="124" t="s">
        <v>73</v>
      </c>
      <c r="AD77" s="51">
        <f>Total!C77-Auszahlungen!C77-Auszahlungen!L77-Auszahlungen!U77</f>
        <v>163900</v>
      </c>
      <c r="AE77" s="110">
        <f>Total!D77-Auszahlungen!D77-Auszahlungen!M77-Auszahlungen!V77</f>
        <v>136900</v>
      </c>
      <c r="AF77" s="110">
        <f>Total!E77-Auszahlungen!E77-Auszahlungen!N77-Auszahlungen!W77</f>
        <v>133900</v>
      </c>
      <c r="AG77" s="51">
        <f>Total!F77-Auszahlungen!F77-Auszahlungen!O77-Auszahlungen!X77</f>
        <v>0</v>
      </c>
      <c r="AH77" s="110">
        <f>Total!G77-Auszahlungen!G77-Auszahlungen!P77-Auszahlungen!Y77</f>
        <v>0</v>
      </c>
      <c r="AI77" s="129">
        <f t="shared" si="15"/>
        <v>434700</v>
      </c>
    </row>
    <row r="78" spans="1:35" x14ac:dyDescent="0.2">
      <c r="A78" s="96">
        <v>86</v>
      </c>
      <c r="B78" s="124" t="s">
        <v>74</v>
      </c>
      <c r="C78" s="51">
        <f>ROUND(Total!C78/4,-2)</f>
        <v>334300</v>
      </c>
      <c r="D78" s="110">
        <f>ROUND(Total!D78/4,-2)</f>
        <v>146000</v>
      </c>
      <c r="E78" s="110">
        <f>ROUND(Total!E78/4,-2)</f>
        <v>309300</v>
      </c>
      <c r="F78" s="51">
        <f>ROUND(Total!F78/4,-2)</f>
        <v>0</v>
      </c>
      <c r="G78" s="110">
        <f>ROUND(Total!G78/4,-2)</f>
        <v>0</v>
      </c>
      <c r="H78" s="129">
        <f t="shared" si="12"/>
        <v>789600</v>
      </c>
      <c r="I78" s="97"/>
      <c r="J78" s="96">
        <v>86</v>
      </c>
      <c r="K78" s="124" t="s">
        <v>74</v>
      </c>
      <c r="L78" s="51">
        <f>ROUND(Total!C78/4,-2)</f>
        <v>334300</v>
      </c>
      <c r="M78" s="110">
        <f>ROUND(Total!D78/4,-2)</f>
        <v>146000</v>
      </c>
      <c r="N78" s="110">
        <f>ROUND(Total!E78/4,-2)</f>
        <v>309300</v>
      </c>
      <c r="O78" s="51">
        <f>ROUND(Total!F78/4,-2)</f>
        <v>0</v>
      </c>
      <c r="P78" s="110">
        <f>ROUND(Total!G78/4,-2)</f>
        <v>0</v>
      </c>
      <c r="Q78" s="129">
        <f t="shared" si="13"/>
        <v>789600</v>
      </c>
      <c r="R78" s="97"/>
      <c r="S78" s="96">
        <v>86</v>
      </c>
      <c r="T78" s="124" t="s">
        <v>74</v>
      </c>
      <c r="U78" s="51">
        <f>ROUND(Total!C78/4,-2)</f>
        <v>334300</v>
      </c>
      <c r="V78" s="110">
        <f>ROUND(Total!D78/4,-2)</f>
        <v>146000</v>
      </c>
      <c r="W78" s="110">
        <f>ROUND(Total!E78/4,-2)</f>
        <v>309300</v>
      </c>
      <c r="X78" s="51">
        <f>ROUND(Total!F78/4,-2)</f>
        <v>0</v>
      </c>
      <c r="Y78" s="110">
        <f>ROUND(Total!G78/4,-2)</f>
        <v>0</v>
      </c>
      <c r="Z78" s="129">
        <f t="shared" si="14"/>
        <v>789600</v>
      </c>
      <c r="AA78" s="97"/>
      <c r="AB78" s="96">
        <v>86</v>
      </c>
      <c r="AC78" s="124" t="s">
        <v>74</v>
      </c>
      <c r="AD78" s="51">
        <f>Total!C78-Auszahlungen!C78-Auszahlungen!L78-Auszahlungen!U78</f>
        <v>334300</v>
      </c>
      <c r="AE78" s="110">
        <f>Total!D78-Auszahlungen!D78-Auszahlungen!M78-Auszahlungen!V78</f>
        <v>145900</v>
      </c>
      <c r="AF78" s="110">
        <f>Total!E78-Auszahlungen!E78-Auszahlungen!N78-Auszahlungen!W78</f>
        <v>309300</v>
      </c>
      <c r="AG78" s="51">
        <f>Total!F78-Auszahlungen!F78-Auszahlungen!O78-Auszahlungen!X78</f>
        <v>0</v>
      </c>
      <c r="AH78" s="110">
        <f>Total!G78-Auszahlungen!G78-Auszahlungen!P78-Auszahlungen!Y78</f>
        <v>0</v>
      </c>
      <c r="AI78" s="129">
        <f t="shared" si="15"/>
        <v>789500</v>
      </c>
    </row>
    <row r="79" spans="1:35" x14ac:dyDescent="0.2">
      <c r="A79" s="96">
        <v>87</v>
      </c>
      <c r="B79" s="124" t="s">
        <v>75</v>
      </c>
      <c r="C79" s="51">
        <f>ROUND(Total!C79/4,-2)</f>
        <v>0</v>
      </c>
      <c r="D79" s="110">
        <f>ROUND(Total!D79/4,-2)</f>
        <v>0</v>
      </c>
      <c r="E79" s="110">
        <f>ROUND(Total!E79/4,-2)</f>
        <v>0</v>
      </c>
      <c r="F79" s="51">
        <f>ROUND(Total!F79/4,-2)</f>
        <v>0</v>
      </c>
      <c r="G79" s="110">
        <f>ROUND(Total!G79/4,-2)</f>
        <v>0</v>
      </c>
      <c r="H79" s="129">
        <f t="shared" si="12"/>
        <v>0</v>
      </c>
      <c r="I79" s="97"/>
      <c r="J79" s="96">
        <v>87</v>
      </c>
      <c r="K79" s="124" t="s">
        <v>75</v>
      </c>
      <c r="L79" s="51">
        <f>ROUND(Total!C79/4,-2)</f>
        <v>0</v>
      </c>
      <c r="M79" s="110">
        <f>ROUND(Total!D79/4,-2)</f>
        <v>0</v>
      </c>
      <c r="N79" s="110">
        <f>ROUND(Total!E79/4,-2)</f>
        <v>0</v>
      </c>
      <c r="O79" s="51">
        <f>ROUND(Total!F79/4,-2)</f>
        <v>0</v>
      </c>
      <c r="P79" s="110">
        <f>ROUND(Total!G79/4,-2)</f>
        <v>0</v>
      </c>
      <c r="Q79" s="129">
        <f t="shared" si="13"/>
        <v>0</v>
      </c>
      <c r="R79" s="97"/>
      <c r="S79" s="96">
        <v>87</v>
      </c>
      <c r="T79" s="124" t="s">
        <v>75</v>
      </c>
      <c r="U79" s="51">
        <f>ROUND(Total!C79/4,-2)</f>
        <v>0</v>
      </c>
      <c r="V79" s="110">
        <f>ROUND(Total!D79/4,-2)</f>
        <v>0</v>
      </c>
      <c r="W79" s="110">
        <f>ROUND(Total!E79/4,-2)</f>
        <v>0</v>
      </c>
      <c r="X79" s="51">
        <f>ROUND(Total!F79/4,-2)</f>
        <v>0</v>
      </c>
      <c r="Y79" s="110">
        <f>ROUND(Total!G79/4,-2)</f>
        <v>0</v>
      </c>
      <c r="Z79" s="129">
        <f t="shared" si="14"/>
        <v>0</v>
      </c>
      <c r="AA79" s="97"/>
      <c r="AB79" s="96">
        <v>87</v>
      </c>
      <c r="AC79" s="124" t="s">
        <v>75</v>
      </c>
      <c r="AD79" s="51">
        <f>Total!C79-Auszahlungen!C79-Auszahlungen!L79-Auszahlungen!U79</f>
        <v>0</v>
      </c>
      <c r="AE79" s="110">
        <f>Total!D79-Auszahlungen!D79-Auszahlungen!M79-Auszahlungen!V79</f>
        <v>0</v>
      </c>
      <c r="AF79" s="110">
        <f>Total!E79-Auszahlungen!E79-Auszahlungen!N79-Auszahlungen!W79</f>
        <v>0</v>
      </c>
      <c r="AG79" s="51">
        <f>Total!F79-Auszahlungen!F79-Auszahlungen!O79-Auszahlungen!X79</f>
        <v>0</v>
      </c>
      <c r="AH79" s="110">
        <f>Total!G79-Auszahlungen!G79-Auszahlungen!P79-Auszahlungen!Y79</f>
        <v>0</v>
      </c>
      <c r="AI79" s="129">
        <f t="shared" si="15"/>
        <v>0</v>
      </c>
    </row>
    <row r="80" spans="1:35" x14ac:dyDescent="0.2">
      <c r="A80" s="96">
        <v>88</v>
      </c>
      <c r="B80" s="124" t="s">
        <v>76</v>
      </c>
      <c r="C80" s="51">
        <f>ROUND(Total!C80/4,-2)</f>
        <v>5300</v>
      </c>
      <c r="D80" s="110">
        <f>ROUND(Total!D80/4,-2)</f>
        <v>28600</v>
      </c>
      <c r="E80" s="110">
        <f>ROUND(Total!E80/4,-2)</f>
        <v>152400</v>
      </c>
      <c r="F80" s="51">
        <f>ROUND(Total!F80/4,-2)</f>
        <v>0</v>
      </c>
      <c r="G80" s="110">
        <f>ROUND(Total!G80/4,-2)</f>
        <v>0</v>
      </c>
      <c r="H80" s="129">
        <f t="shared" si="12"/>
        <v>186300</v>
      </c>
      <c r="I80" s="97"/>
      <c r="J80" s="96">
        <v>88</v>
      </c>
      <c r="K80" s="124" t="s">
        <v>76</v>
      </c>
      <c r="L80" s="51">
        <f>ROUND(Total!C80/4,-2)</f>
        <v>5300</v>
      </c>
      <c r="M80" s="110">
        <f>ROUND(Total!D80/4,-2)</f>
        <v>28600</v>
      </c>
      <c r="N80" s="110">
        <f>ROUND(Total!E80/4,-2)</f>
        <v>152400</v>
      </c>
      <c r="O80" s="51">
        <f>ROUND(Total!F80/4,-2)</f>
        <v>0</v>
      </c>
      <c r="P80" s="110">
        <f>ROUND(Total!G80/4,-2)</f>
        <v>0</v>
      </c>
      <c r="Q80" s="129">
        <f t="shared" si="13"/>
        <v>186300</v>
      </c>
      <c r="R80" s="97"/>
      <c r="S80" s="96">
        <v>88</v>
      </c>
      <c r="T80" s="124" t="s">
        <v>76</v>
      </c>
      <c r="U80" s="51">
        <f>ROUND(Total!C80/4,-2)</f>
        <v>5300</v>
      </c>
      <c r="V80" s="110">
        <f>ROUND(Total!D80/4,-2)</f>
        <v>28600</v>
      </c>
      <c r="W80" s="110">
        <f>ROUND(Total!E80/4,-2)</f>
        <v>152400</v>
      </c>
      <c r="X80" s="51">
        <f>ROUND(Total!F80/4,-2)</f>
        <v>0</v>
      </c>
      <c r="Y80" s="110">
        <f>ROUND(Total!G80/4,-2)</f>
        <v>0</v>
      </c>
      <c r="Z80" s="129">
        <f t="shared" si="14"/>
        <v>186300</v>
      </c>
      <c r="AA80" s="97"/>
      <c r="AB80" s="96">
        <v>88</v>
      </c>
      <c r="AC80" s="124" t="s">
        <v>76</v>
      </c>
      <c r="AD80" s="51">
        <f>Total!C80-Auszahlungen!C80-Auszahlungen!L80-Auszahlungen!U80</f>
        <v>5300</v>
      </c>
      <c r="AE80" s="110">
        <f>Total!D80-Auszahlungen!D80-Auszahlungen!M80-Auszahlungen!V80</f>
        <v>28600</v>
      </c>
      <c r="AF80" s="110">
        <f>Total!E80-Auszahlungen!E80-Auszahlungen!N80-Auszahlungen!W80</f>
        <v>152300</v>
      </c>
      <c r="AG80" s="51">
        <f>Total!F80-Auszahlungen!F80-Auszahlungen!O80-Auszahlungen!X80</f>
        <v>0</v>
      </c>
      <c r="AH80" s="110">
        <f>Total!G80-Auszahlungen!G80-Auszahlungen!P80-Auszahlungen!Y80</f>
        <v>0</v>
      </c>
      <c r="AI80" s="129">
        <f t="shared" si="15"/>
        <v>186200</v>
      </c>
    </row>
    <row r="81" spans="1:35" x14ac:dyDescent="0.2">
      <c r="A81" s="96">
        <v>89</v>
      </c>
      <c r="B81" s="124" t="s">
        <v>77</v>
      </c>
      <c r="C81" s="51">
        <f>ROUND(Total!C81/4,-2)</f>
        <v>412500</v>
      </c>
      <c r="D81" s="110">
        <f>ROUND(Total!D81/4,-2)</f>
        <v>458700</v>
      </c>
      <c r="E81" s="110">
        <f>ROUND(Total!E81/4,-2)</f>
        <v>370300</v>
      </c>
      <c r="F81" s="51">
        <f>ROUND(Total!F81/4,-2)</f>
        <v>19000</v>
      </c>
      <c r="G81" s="110">
        <f>ROUND(Total!G81/4,-2)</f>
        <v>0</v>
      </c>
      <c r="H81" s="129">
        <f t="shared" si="12"/>
        <v>1260500</v>
      </c>
      <c r="I81" s="97"/>
      <c r="J81" s="96">
        <v>89</v>
      </c>
      <c r="K81" s="124" t="s">
        <v>77</v>
      </c>
      <c r="L81" s="51">
        <f>ROUND(Total!C81/4,-2)</f>
        <v>412500</v>
      </c>
      <c r="M81" s="110">
        <f>ROUND(Total!D81/4,-2)</f>
        <v>458700</v>
      </c>
      <c r="N81" s="110">
        <f>ROUND(Total!E81/4,-2)</f>
        <v>370300</v>
      </c>
      <c r="O81" s="51">
        <f>ROUND(Total!F81/4,-2)</f>
        <v>19000</v>
      </c>
      <c r="P81" s="110">
        <f>ROUND(Total!G81/4,-2)</f>
        <v>0</v>
      </c>
      <c r="Q81" s="129">
        <f t="shared" si="13"/>
        <v>1260500</v>
      </c>
      <c r="R81" s="97"/>
      <c r="S81" s="96">
        <v>89</v>
      </c>
      <c r="T81" s="124" t="s">
        <v>77</v>
      </c>
      <c r="U81" s="51">
        <f>ROUND(Total!C81/4,-2)</f>
        <v>412500</v>
      </c>
      <c r="V81" s="110">
        <f>ROUND(Total!D81/4,-2)</f>
        <v>458700</v>
      </c>
      <c r="W81" s="110">
        <f>ROUND(Total!E81/4,-2)</f>
        <v>370300</v>
      </c>
      <c r="X81" s="51">
        <f>ROUND(Total!F81/4,-2)</f>
        <v>19000</v>
      </c>
      <c r="Y81" s="110">
        <f>ROUND(Total!G81/4,-2)</f>
        <v>0</v>
      </c>
      <c r="Z81" s="129">
        <f t="shared" si="14"/>
        <v>1260500</v>
      </c>
      <c r="AA81" s="97"/>
      <c r="AB81" s="96">
        <v>89</v>
      </c>
      <c r="AC81" s="124" t="s">
        <v>77</v>
      </c>
      <c r="AD81" s="51">
        <f>Total!C81-Auszahlungen!C81-Auszahlungen!L81-Auszahlungen!U81</f>
        <v>412500</v>
      </c>
      <c r="AE81" s="110">
        <f>Total!D81-Auszahlungen!D81-Auszahlungen!M81-Auszahlungen!V81</f>
        <v>458500</v>
      </c>
      <c r="AF81" s="110">
        <f>Total!E81-Auszahlungen!E81-Auszahlungen!N81-Auszahlungen!W81</f>
        <v>370400</v>
      </c>
      <c r="AG81" s="51">
        <f>Total!F81-Auszahlungen!F81-Auszahlungen!O81-Auszahlungen!X81</f>
        <v>19000</v>
      </c>
      <c r="AH81" s="110">
        <f>Total!G81-Auszahlungen!G81-Auszahlungen!P81-Auszahlungen!Y81</f>
        <v>0</v>
      </c>
      <c r="AI81" s="129">
        <f t="shared" si="15"/>
        <v>1260400</v>
      </c>
    </row>
    <row r="82" spans="1:35" x14ac:dyDescent="0.2">
      <c r="A82" s="96">
        <v>90</v>
      </c>
      <c r="B82" s="124" t="s">
        <v>78</v>
      </c>
      <c r="C82" s="51">
        <f>ROUND(Total!C82/4,-2)</f>
        <v>0</v>
      </c>
      <c r="D82" s="110">
        <f>ROUND(Total!D82/4,-2)</f>
        <v>0</v>
      </c>
      <c r="E82" s="110">
        <f>ROUND(Total!E82/4,-2)</f>
        <v>36600</v>
      </c>
      <c r="F82" s="51">
        <f>ROUND(Total!F82/4,-2)</f>
        <v>0</v>
      </c>
      <c r="G82" s="110">
        <f>ROUND(Total!G82/4,-2)</f>
        <v>0</v>
      </c>
      <c r="H82" s="129">
        <f t="shared" si="12"/>
        <v>36600</v>
      </c>
      <c r="I82" s="97"/>
      <c r="J82" s="101">
        <v>90</v>
      </c>
      <c r="K82" s="125" t="s">
        <v>78</v>
      </c>
      <c r="L82" s="102">
        <f>ROUND(Total!C82/4,-2)</f>
        <v>0</v>
      </c>
      <c r="M82" s="111">
        <f>ROUND(Total!D82/4,-2)</f>
        <v>0</v>
      </c>
      <c r="N82" s="111">
        <f>ROUND(Total!E82/4,-2)</f>
        <v>36600</v>
      </c>
      <c r="O82" s="102">
        <f>ROUND(Total!F82/4,-2)</f>
        <v>0</v>
      </c>
      <c r="P82" s="111">
        <f>ROUND(Total!G82/4,-2)</f>
        <v>0</v>
      </c>
      <c r="Q82" s="130">
        <f t="shared" si="13"/>
        <v>36600</v>
      </c>
      <c r="R82" s="97"/>
      <c r="S82" s="101">
        <v>90</v>
      </c>
      <c r="T82" s="125" t="s">
        <v>78</v>
      </c>
      <c r="U82" s="102">
        <f>ROUND(Total!C82/4,-2)</f>
        <v>0</v>
      </c>
      <c r="V82" s="111">
        <f>ROUND(Total!D82/4,-2)</f>
        <v>0</v>
      </c>
      <c r="W82" s="111">
        <f>ROUND(Total!E82/4,-2)</f>
        <v>36600</v>
      </c>
      <c r="X82" s="102">
        <f>ROUND(Total!F82/4,-2)</f>
        <v>0</v>
      </c>
      <c r="Y82" s="111">
        <f>ROUND(Total!G82/4,-2)</f>
        <v>0</v>
      </c>
      <c r="Z82" s="130">
        <f t="shared" si="14"/>
        <v>36600</v>
      </c>
      <c r="AA82" s="97"/>
      <c r="AB82" s="101">
        <v>90</v>
      </c>
      <c r="AC82" s="125" t="s">
        <v>78</v>
      </c>
      <c r="AD82" s="102">
        <f>Total!C82-Auszahlungen!C82-Auszahlungen!L82-Auszahlungen!U82</f>
        <v>0</v>
      </c>
      <c r="AE82" s="111">
        <f>Total!D82-Auszahlungen!D82-Auszahlungen!M82-Auszahlungen!V82</f>
        <v>0</v>
      </c>
      <c r="AF82" s="111">
        <f>Total!E82-Auszahlungen!E82-Auszahlungen!N82-Auszahlungen!W82</f>
        <v>36700</v>
      </c>
      <c r="AG82" s="102">
        <f>Total!F82-Auszahlungen!F82-Auszahlungen!O82-Auszahlungen!X82</f>
        <v>0</v>
      </c>
      <c r="AH82" s="111">
        <f>Total!G82-Auszahlungen!G82-Auszahlungen!P82-Auszahlungen!Y82</f>
        <v>0</v>
      </c>
      <c r="AI82" s="130">
        <f t="shared" si="15"/>
        <v>36700</v>
      </c>
    </row>
    <row r="83" spans="1:35" x14ac:dyDescent="0.2">
      <c r="A83" s="114"/>
      <c r="B83" s="117" t="s">
        <v>79</v>
      </c>
      <c r="C83" s="115">
        <f t="shared" ref="C83:H83" si="16">SUM(C8:C82)</f>
        <v>28762800</v>
      </c>
      <c r="D83" s="119">
        <f t="shared" si="16"/>
        <v>9404200</v>
      </c>
      <c r="E83" s="119">
        <f t="shared" si="16"/>
        <v>7682600</v>
      </c>
      <c r="F83" s="115">
        <f t="shared" si="16"/>
        <v>6625000</v>
      </c>
      <c r="G83" s="119">
        <f t="shared" si="16"/>
        <v>4204500</v>
      </c>
      <c r="H83" s="119">
        <f t="shared" si="16"/>
        <v>56679100</v>
      </c>
      <c r="I83" s="97"/>
      <c r="J83" s="114"/>
      <c r="K83" s="117" t="s">
        <v>79</v>
      </c>
      <c r="L83" s="115">
        <f t="shared" ref="L83:Q83" si="17">SUM(L8:L82)</f>
        <v>28762800</v>
      </c>
      <c r="M83" s="119">
        <f t="shared" si="17"/>
        <v>9404200</v>
      </c>
      <c r="N83" s="119">
        <f t="shared" si="17"/>
        <v>7682600</v>
      </c>
      <c r="O83" s="115">
        <f t="shared" si="17"/>
        <v>6625000</v>
      </c>
      <c r="P83" s="119">
        <f t="shared" si="17"/>
        <v>4204500</v>
      </c>
      <c r="Q83" s="119">
        <f t="shared" si="17"/>
        <v>56679100</v>
      </c>
      <c r="R83" s="97"/>
      <c r="S83" s="114"/>
      <c r="T83" s="117" t="s">
        <v>79</v>
      </c>
      <c r="U83" s="115">
        <f t="shared" ref="U83:Z83" si="18">SUM(U8:U82)</f>
        <v>28762800</v>
      </c>
      <c r="V83" s="119">
        <f t="shared" si="18"/>
        <v>9404200</v>
      </c>
      <c r="W83" s="119">
        <f t="shared" si="18"/>
        <v>7682600</v>
      </c>
      <c r="X83" s="115">
        <f t="shared" si="18"/>
        <v>6625000</v>
      </c>
      <c r="Y83" s="119">
        <f t="shared" si="18"/>
        <v>4204500</v>
      </c>
      <c r="Z83" s="119">
        <f t="shared" si="18"/>
        <v>56679100</v>
      </c>
      <c r="AA83" s="97"/>
      <c r="AB83" s="114"/>
      <c r="AC83" s="117" t="s">
        <v>79</v>
      </c>
      <c r="AD83" s="115">
        <f>SUM(AD8:AD82)</f>
        <v>28760900</v>
      </c>
      <c r="AE83" s="119">
        <f t="shared" ref="AE83:AI83" si="19">SUM(AE8:AE82)</f>
        <v>9400700</v>
      </c>
      <c r="AF83" s="119">
        <f>SUM(AF8:AF82)</f>
        <v>7679000</v>
      </c>
      <c r="AG83" s="115">
        <f t="shared" si="19"/>
        <v>6622800</v>
      </c>
      <c r="AH83" s="119">
        <f t="shared" si="19"/>
        <v>4204600</v>
      </c>
      <c r="AI83" s="119">
        <f t="shared" si="19"/>
        <v>56668000</v>
      </c>
    </row>
    <row r="84" spans="1:35" ht="30" customHeight="1" x14ac:dyDescent="0.2">
      <c r="A84" s="116"/>
      <c r="B84" s="133" t="s">
        <v>221</v>
      </c>
      <c r="C84" s="132" t="s">
        <v>234</v>
      </c>
      <c r="D84" s="131" t="s">
        <v>235</v>
      </c>
      <c r="E84" s="132" t="s">
        <v>236</v>
      </c>
      <c r="F84" s="149" t="s">
        <v>237</v>
      </c>
      <c r="G84" s="131" t="s">
        <v>238</v>
      </c>
      <c r="H84" s="118"/>
      <c r="I84" s="97"/>
      <c r="J84" s="116"/>
      <c r="K84" s="133" t="s">
        <v>221</v>
      </c>
      <c r="L84" s="132" t="s">
        <v>234</v>
      </c>
      <c r="M84" s="131" t="s">
        <v>235</v>
      </c>
      <c r="N84" s="132" t="s">
        <v>236</v>
      </c>
      <c r="O84" s="149" t="s">
        <v>237</v>
      </c>
      <c r="P84" s="131" t="s">
        <v>238</v>
      </c>
      <c r="Q84" s="118"/>
      <c r="R84" s="97"/>
      <c r="S84" s="116"/>
      <c r="T84" s="133" t="s">
        <v>221</v>
      </c>
      <c r="U84" s="132" t="s">
        <v>234</v>
      </c>
      <c r="V84" s="131" t="s">
        <v>235</v>
      </c>
      <c r="W84" s="132" t="s">
        <v>236</v>
      </c>
      <c r="X84" s="149" t="s">
        <v>237</v>
      </c>
      <c r="Y84" s="131" t="s">
        <v>238</v>
      </c>
      <c r="Z84" s="118"/>
      <c r="AA84" s="97"/>
      <c r="AB84" s="116"/>
      <c r="AC84" s="133" t="s">
        <v>221</v>
      </c>
      <c r="AD84" s="132" t="s">
        <v>234</v>
      </c>
      <c r="AE84" s="131" t="s">
        <v>235</v>
      </c>
      <c r="AF84" s="132" t="s">
        <v>236</v>
      </c>
      <c r="AG84" s="149" t="s">
        <v>237</v>
      </c>
      <c r="AH84" s="131" t="s">
        <v>238</v>
      </c>
      <c r="AI84" s="118"/>
    </row>
    <row r="87" spans="1:35" x14ac:dyDescent="0.2">
      <c r="AE87" s="50"/>
    </row>
  </sheetData>
  <pageMargins left="0.51181102362204722" right="0.51181102362204722" top="0.39370078740157483" bottom="0.39370078740157483" header="0.31496062992125984" footer="0.31496062992125984"/>
  <pageSetup paperSize="9" scale="68" orientation="portrait" r:id="rId1"/>
  <headerFooter>
    <oddFooter>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84"/>
  <sheetViews>
    <sheetView topLeftCell="W1" zoomScale="130" zoomScaleNormal="130" workbookViewId="0">
      <selection activeCell="B7" sqref="B7:E7"/>
    </sheetView>
  </sheetViews>
  <sheetFormatPr baseColWidth="10" defaultRowHeight="12.75" x14ac:dyDescent="0.2"/>
  <cols>
    <col min="1" max="1" width="4" customWidth="1"/>
    <col min="2" max="2" width="20.5703125" bestFit="1" customWidth="1"/>
    <col min="3" max="3" width="8.28515625" bestFit="1" customWidth="1"/>
    <col min="4" max="4" width="5.140625" bestFit="1" customWidth="1"/>
    <col min="5" max="5" width="19.42578125" customWidth="1"/>
    <col min="7" max="7" width="25.7109375" customWidth="1"/>
    <col min="8" max="8" width="4.28515625" customWidth="1"/>
    <col min="9" max="9" width="4" customWidth="1"/>
    <col min="10" max="10" width="20.5703125" bestFit="1" customWidth="1"/>
    <col min="11" max="11" width="8.28515625" bestFit="1" customWidth="1"/>
    <col min="12" max="12" width="5.140625" bestFit="1" customWidth="1"/>
    <col min="13" max="13" width="19.42578125" customWidth="1"/>
    <col min="15" max="15" width="25.7109375" customWidth="1"/>
    <col min="16" max="16" width="4.28515625" customWidth="1"/>
    <col min="17" max="17" width="4" customWidth="1"/>
    <col min="18" max="18" width="20.5703125" bestFit="1" customWidth="1"/>
    <col min="19" max="19" width="8.28515625" bestFit="1" customWidth="1"/>
    <col min="20" max="20" width="5.140625" bestFit="1" customWidth="1"/>
    <col min="21" max="21" width="19.42578125" customWidth="1"/>
    <col min="23" max="23" width="25.7109375" customWidth="1"/>
    <col min="24" max="24" width="4.28515625" customWidth="1"/>
    <col min="25" max="25" width="4" customWidth="1"/>
    <col min="26" max="26" width="20.5703125" bestFit="1" customWidth="1"/>
    <col min="27" max="27" width="8.28515625" bestFit="1" customWidth="1"/>
    <col min="28" max="28" width="5.140625" bestFit="1" customWidth="1"/>
    <col min="29" max="29" width="19.42578125" customWidth="1"/>
    <col min="31" max="31" width="25.7109375" customWidth="1"/>
  </cols>
  <sheetData>
    <row r="1" spans="1:29" x14ac:dyDescent="0.2">
      <c r="A1" s="82" t="s">
        <v>194</v>
      </c>
      <c r="H1" s="121"/>
      <c r="I1" s="82" t="s">
        <v>194</v>
      </c>
      <c r="P1" s="121"/>
      <c r="Q1" s="82" t="s">
        <v>194</v>
      </c>
      <c r="X1" s="121"/>
      <c r="Y1" s="82" t="s">
        <v>194</v>
      </c>
    </row>
    <row r="2" spans="1:29" x14ac:dyDescent="0.2">
      <c r="A2" t="s">
        <v>195</v>
      </c>
      <c r="H2" s="121"/>
      <c r="I2" t="s">
        <v>195</v>
      </c>
      <c r="P2" s="121"/>
      <c r="Q2" t="s">
        <v>195</v>
      </c>
      <c r="X2" s="121"/>
      <c r="Y2" t="s">
        <v>195</v>
      </c>
    </row>
    <row r="3" spans="1:29" x14ac:dyDescent="0.2">
      <c r="H3" s="121"/>
      <c r="P3" s="121"/>
      <c r="X3" s="121"/>
    </row>
    <row r="4" spans="1:29" x14ac:dyDescent="0.2">
      <c r="H4" s="121"/>
      <c r="P4" s="121"/>
      <c r="X4" s="121"/>
    </row>
    <row r="5" spans="1:29" ht="26.25" x14ac:dyDescent="0.2">
      <c r="A5" s="120" t="s">
        <v>376</v>
      </c>
      <c r="B5" s="3"/>
      <c r="C5" s="3"/>
      <c r="D5" s="3"/>
      <c r="E5" s="3"/>
      <c r="H5" s="121"/>
      <c r="I5" s="120" t="s">
        <v>376</v>
      </c>
      <c r="J5" s="3"/>
      <c r="K5" s="3"/>
      <c r="L5" s="3"/>
      <c r="M5" s="3"/>
      <c r="P5" s="121"/>
      <c r="Q5" s="120" t="s">
        <v>376</v>
      </c>
      <c r="R5" s="3"/>
      <c r="S5" s="3"/>
      <c r="T5" s="3"/>
      <c r="U5" s="3"/>
      <c r="X5" s="121"/>
      <c r="Y5" s="120" t="s">
        <v>376</v>
      </c>
      <c r="Z5" s="3"/>
      <c r="AA5" s="3"/>
      <c r="AB5" s="3"/>
      <c r="AC5" s="3"/>
    </row>
    <row r="6" spans="1:29" ht="18" x14ac:dyDescent="0.25">
      <c r="A6" s="100" t="s">
        <v>220</v>
      </c>
      <c r="B6" s="3"/>
      <c r="C6" s="3"/>
      <c r="D6" s="3"/>
      <c r="E6" s="3"/>
      <c r="H6" s="121"/>
      <c r="I6" s="100" t="s">
        <v>222</v>
      </c>
      <c r="J6" s="3"/>
      <c r="K6" s="3"/>
      <c r="L6" s="3"/>
      <c r="M6" s="3"/>
      <c r="P6" s="121"/>
      <c r="Q6" s="100" t="s">
        <v>223</v>
      </c>
      <c r="R6" s="3"/>
      <c r="S6" s="3"/>
      <c r="T6" s="3"/>
      <c r="U6" s="3"/>
      <c r="X6" s="121"/>
      <c r="Y6" s="100" t="s">
        <v>224</v>
      </c>
      <c r="Z6" s="3"/>
      <c r="AA6" s="3"/>
      <c r="AB6" s="3"/>
      <c r="AC6" s="3"/>
    </row>
    <row r="7" spans="1:29" x14ac:dyDescent="0.2">
      <c r="A7" s="3"/>
      <c r="B7" s="3"/>
      <c r="C7" s="5"/>
      <c r="D7" s="5"/>
      <c r="E7" s="5"/>
      <c r="H7" s="121"/>
      <c r="I7" s="3"/>
      <c r="J7" s="3"/>
      <c r="K7" s="5"/>
      <c r="L7" s="5"/>
      <c r="M7" s="5"/>
      <c r="P7" s="121"/>
      <c r="Q7" s="3"/>
      <c r="R7" s="3"/>
      <c r="S7" s="5"/>
      <c r="T7" s="5"/>
      <c r="U7" s="5"/>
      <c r="X7" s="121"/>
      <c r="Y7" s="3"/>
      <c r="Z7" s="3"/>
      <c r="AA7" s="5"/>
      <c r="AB7" s="5"/>
      <c r="AC7" s="5"/>
    </row>
    <row r="8" spans="1:29" ht="25.5" customHeight="1" x14ac:dyDescent="0.2">
      <c r="A8" s="113" t="s">
        <v>211</v>
      </c>
      <c r="B8" s="106" t="s">
        <v>212</v>
      </c>
      <c r="C8" s="108" t="s">
        <v>213</v>
      </c>
      <c r="D8" s="107" t="s">
        <v>214</v>
      </c>
      <c r="E8" s="108" t="s">
        <v>377</v>
      </c>
      <c r="H8" s="121"/>
      <c r="I8" s="113" t="s">
        <v>211</v>
      </c>
      <c r="J8" s="106" t="s">
        <v>212</v>
      </c>
      <c r="K8" s="108" t="s">
        <v>213</v>
      </c>
      <c r="L8" s="107" t="s">
        <v>214</v>
      </c>
      <c r="M8" s="108" t="s">
        <v>378</v>
      </c>
      <c r="P8" s="121"/>
      <c r="Q8" s="113" t="s">
        <v>211</v>
      </c>
      <c r="R8" s="106" t="s">
        <v>212</v>
      </c>
      <c r="S8" s="108" t="s">
        <v>213</v>
      </c>
      <c r="T8" s="107" t="s">
        <v>214</v>
      </c>
      <c r="U8" s="108" t="s">
        <v>379</v>
      </c>
      <c r="X8" s="121"/>
      <c r="Y8" s="113" t="s">
        <v>211</v>
      </c>
      <c r="Z8" s="106" t="s">
        <v>212</v>
      </c>
      <c r="AA8" s="108" t="s">
        <v>213</v>
      </c>
      <c r="AB8" s="107" t="s">
        <v>214</v>
      </c>
      <c r="AC8" s="108" t="s">
        <v>380</v>
      </c>
    </row>
    <row r="9" spans="1:29" x14ac:dyDescent="0.2">
      <c r="A9" s="182">
        <v>1</v>
      </c>
      <c r="B9" s="33" t="s">
        <v>5</v>
      </c>
      <c r="C9" s="180" t="str">
        <f>IF(E9=0,"","G"&amp;A9)</f>
        <v>G1</v>
      </c>
      <c r="D9" s="150" t="s">
        <v>216</v>
      </c>
      <c r="E9" s="109">
        <f>Auszahlungen!H8</f>
        <v>8493600</v>
      </c>
      <c r="G9" s="143"/>
      <c r="H9" s="121"/>
      <c r="I9" s="182">
        <v>1</v>
      </c>
      <c r="J9" s="33" t="s">
        <v>5</v>
      </c>
      <c r="K9" s="180" t="str">
        <f>IF(M9=0,"","G"&amp;I9)</f>
        <v>G1</v>
      </c>
      <c r="L9" s="150" t="s">
        <v>216</v>
      </c>
      <c r="M9" s="109">
        <f>Auszahlungen!Q8</f>
        <v>8493600</v>
      </c>
      <c r="P9" s="121"/>
      <c r="Q9" s="182">
        <v>1</v>
      </c>
      <c r="R9" s="33" t="s">
        <v>5</v>
      </c>
      <c r="S9" s="180" t="str">
        <f>IF(U9=0,"","G"&amp;Q9)</f>
        <v>G1</v>
      </c>
      <c r="T9" s="150" t="s">
        <v>216</v>
      </c>
      <c r="U9" s="109">
        <f>Auszahlungen!Z8</f>
        <v>8493600</v>
      </c>
      <c r="X9" s="121"/>
      <c r="Y9" s="182">
        <v>1</v>
      </c>
      <c r="Z9" s="33" t="s">
        <v>5</v>
      </c>
      <c r="AA9" s="180" t="str">
        <f>IF(AC9=0,"","G"&amp;Y9)</f>
        <v>G1</v>
      </c>
      <c r="AB9" s="150" t="s">
        <v>216</v>
      </c>
      <c r="AC9" s="109">
        <f>Auszahlungen!AI8</f>
        <v>8493700</v>
      </c>
    </row>
    <row r="10" spans="1:29" x14ac:dyDescent="0.2">
      <c r="A10" s="182">
        <v>2</v>
      </c>
      <c r="B10" s="33" t="s">
        <v>6</v>
      </c>
      <c r="C10" s="180" t="str">
        <f t="shared" ref="C10:C71" si="0">IF(E10=0,"","G"&amp;A10)</f>
        <v>G2</v>
      </c>
      <c r="D10" s="150" t="s">
        <v>216</v>
      </c>
      <c r="E10" s="109">
        <f>Auszahlungen!H9</f>
        <v>1416400</v>
      </c>
      <c r="G10" s="143"/>
      <c r="H10" s="121"/>
      <c r="I10" s="182">
        <v>2</v>
      </c>
      <c r="J10" s="33" t="s">
        <v>6</v>
      </c>
      <c r="K10" s="180" t="str">
        <f t="shared" ref="K10:K71" si="1">IF(M10=0,"","G"&amp;I10)</f>
        <v>G2</v>
      </c>
      <c r="L10" s="150" t="s">
        <v>216</v>
      </c>
      <c r="M10" s="109">
        <f>Auszahlungen!Q9</f>
        <v>1416400</v>
      </c>
      <c r="P10" s="121"/>
      <c r="Q10" s="182">
        <v>2</v>
      </c>
      <c r="R10" s="33" t="s">
        <v>6</v>
      </c>
      <c r="S10" s="180" t="str">
        <f t="shared" ref="S10:S71" si="2">IF(U10=0,"","G"&amp;Q10)</f>
        <v>G2</v>
      </c>
      <c r="T10" s="150" t="s">
        <v>216</v>
      </c>
      <c r="U10" s="109">
        <f>Auszahlungen!Z9</f>
        <v>1416400</v>
      </c>
      <c r="X10" s="121"/>
      <c r="Y10" s="182">
        <v>2</v>
      </c>
      <c r="Z10" s="33" t="s">
        <v>6</v>
      </c>
      <c r="AA10" s="180" t="str">
        <f t="shared" ref="AA10:AA71" si="3">IF(AC10=0,"","G"&amp;Y10)</f>
        <v>G2</v>
      </c>
      <c r="AB10" s="150" t="s">
        <v>216</v>
      </c>
      <c r="AC10" s="109">
        <f>Auszahlungen!AI9</f>
        <v>1416000</v>
      </c>
    </row>
    <row r="11" spans="1:29" x14ac:dyDescent="0.2">
      <c r="A11" s="182">
        <v>3</v>
      </c>
      <c r="B11" s="33" t="s">
        <v>7</v>
      </c>
      <c r="C11" s="180" t="str">
        <f t="shared" si="0"/>
        <v>G3</v>
      </c>
      <c r="D11" s="99" t="s">
        <v>216</v>
      </c>
      <c r="E11" s="109">
        <f>Auszahlungen!H10</f>
        <v>398700</v>
      </c>
      <c r="G11" s="143"/>
      <c r="H11" s="121"/>
      <c r="I11" s="182">
        <v>3</v>
      </c>
      <c r="J11" s="33" t="s">
        <v>7</v>
      </c>
      <c r="K11" s="180" t="str">
        <f t="shared" si="1"/>
        <v>G3</v>
      </c>
      <c r="L11" s="99" t="s">
        <v>216</v>
      </c>
      <c r="M11" s="109">
        <f>Auszahlungen!Q10</f>
        <v>398700</v>
      </c>
      <c r="P11" s="121"/>
      <c r="Q11" s="182">
        <v>3</v>
      </c>
      <c r="R11" s="33" t="s">
        <v>7</v>
      </c>
      <c r="S11" s="180" t="str">
        <f t="shared" si="2"/>
        <v>G3</v>
      </c>
      <c r="T11" s="99" t="s">
        <v>216</v>
      </c>
      <c r="U11" s="109">
        <f>Auszahlungen!Z10</f>
        <v>398700</v>
      </c>
      <c r="X11" s="121"/>
      <c r="Y11" s="182">
        <v>3</v>
      </c>
      <c r="Z11" s="33" t="s">
        <v>7</v>
      </c>
      <c r="AA11" s="180" t="str">
        <f t="shared" si="3"/>
        <v>G3</v>
      </c>
      <c r="AB11" s="99" t="s">
        <v>216</v>
      </c>
      <c r="AC11" s="109">
        <f>Auszahlungen!AI10</f>
        <v>398300</v>
      </c>
    </row>
    <row r="12" spans="1:29" x14ac:dyDescent="0.2">
      <c r="A12" s="182">
        <v>4</v>
      </c>
      <c r="B12" s="33" t="s">
        <v>8</v>
      </c>
      <c r="C12" s="180" t="str">
        <f t="shared" si="0"/>
        <v>G4</v>
      </c>
      <c r="D12" s="151" t="s">
        <v>218</v>
      </c>
      <c r="E12" s="109">
        <f>Auszahlungen!H11</f>
        <v>417900</v>
      </c>
      <c r="G12" s="143"/>
      <c r="H12" s="121"/>
      <c r="I12" s="182">
        <v>4</v>
      </c>
      <c r="J12" s="33" t="s">
        <v>8</v>
      </c>
      <c r="K12" s="180" t="str">
        <f t="shared" si="1"/>
        <v>G4</v>
      </c>
      <c r="L12" s="151" t="s">
        <v>218</v>
      </c>
      <c r="M12" s="109">
        <f>Auszahlungen!Q11</f>
        <v>417900</v>
      </c>
      <c r="P12" s="121"/>
      <c r="Q12" s="182">
        <v>4</v>
      </c>
      <c r="R12" s="33" t="s">
        <v>8</v>
      </c>
      <c r="S12" s="180" t="str">
        <f t="shared" si="2"/>
        <v>G4</v>
      </c>
      <c r="T12" s="151" t="s">
        <v>218</v>
      </c>
      <c r="U12" s="109">
        <f>Auszahlungen!Z11</f>
        <v>417900</v>
      </c>
      <c r="X12" s="121"/>
      <c r="Y12" s="182">
        <v>4</v>
      </c>
      <c r="Z12" s="33" t="s">
        <v>8</v>
      </c>
      <c r="AA12" s="180" t="str">
        <f t="shared" si="3"/>
        <v>G4</v>
      </c>
      <c r="AB12" s="151" t="s">
        <v>218</v>
      </c>
      <c r="AC12" s="109">
        <f>Auszahlungen!AI11</f>
        <v>417900</v>
      </c>
    </row>
    <row r="13" spans="1:29" x14ac:dyDescent="0.2">
      <c r="A13" s="182">
        <v>5</v>
      </c>
      <c r="B13" s="33" t="s">
        <v>9</v>
      </c>
      <c r="C13" s="180" t="str">
        <f>IF(E13=0,"","G"&amp;A13)</f>
        <v/>
      </c>
      <c r="D13" s="99" t="s">
        <v>216</v>
      </c>
      <c r="E13" s="109">
        <f>Auszahlungen!H12</f>
        <v>0</v>
      </c>
      <c r="G13" s="143"/>
      <c r="H13" s="121"/>
      <c r="I13" s="182">
        <v>5</v>
      </c>
      <c r="J13" s="33" t="s">
        <v>9</v>
      </c>
      <c r="K13" s="180" t="str">
        <f t="shared" si="1"/>
        <v/>
      </c>
      <c r="L13" s="99" t="s">
        <v>216</v>
      </c>
      <c r="M13" s="109">
        <f>Auszahlungen!Q12</f>
        <v>0</v>
      </c>
      <c r="P13" s="121"/>
      <c r="Q13" s="182">
        <v>5</v>
      </c>
      <c r="R13" s="33" t="s">
        <v>9</v>
      </c>
      <c r="S13" s="180" t="str">
        <f t="shared" si="2"/>
        <v/>
      </c>
      <c r="T13" s="99" t="s">
        <v>216</v>
      </c>
      <c r="U13" s="109">
        <f>Auszahlungen!Z12</f>
        <v>0</v>
      </c>
      <c r="X13" s="121"/>
      <c r="Y13" s="182">
        <v>5</v>
      </c>
      <c r="Z13" s="33" t="s">
        <v>9</v>
      </c>
      <c r="AA13" s="180" t="str">
        <f t="shared" si="3"/>
        <v/>
      </c>
      <c r="AB13" s="99" t="s">
        <v>216</v>
      </c>
      <c r="AC13" s="109">
        <f>Auszahlungen!AI12</f>
        <v>0</v>
      </c>
    </row>
    <row r="14" spans="1:29" x14ac:dyDescent="0.2">
      <c r="A14" s="182">
        <v>6</v>
      </c>
      <c r="B14" s="33" t="s">
        <v>10</v>
      </c>
      <c r="C14" s="180" t="str">
        <f t="shared" si="0"/>
        <v>G6</v>
      </c>
      <c r="D14" s="151" t="s">
        <v>219</v>
      </c>
      <c r="E14" s="109">
        <f>Auszahlungen!H13</f>
        <v>54700</v>
      </c>
      <c r="G14" s="143"/>
      <c r="H14" s="121"/>
      <c r="I14" s="182">
        <v>6</v>
      </c>
      <c r="J14" s="33" t="s">
        <v>10</v>
      </c>
      <c r="K14" s="180" t="str">
        <f t="shared" si="1"/>
        <v>G6</v>
      </c>
      <c r="L14" s="151" t="s">
        <v>219</v>
      </c>
      <c r="M14" s="109">
        <f>Auszahlungen!Q13</f>
        <v>54700</v>
      </c>
      <c r="P14" s="121"/>
      <c r="Q14" s="182">
        <v>6</v>
      </c>
      <c r="R14" s="33" t="s">
        <v>10</v>
      </c>
      <c r="S14" s="180" t="str">
        <f t="shared" si="2"/>
        <v>G6</v>
      </c>
      <c r="T14" s="151" t="s">
        <v>217</v>
      </c>
      <c r="U14" s="109">
        <f>Auszahlungen!Z13</f>
        <v>54700</v>
      </c>
      <c r="X14" s="121"/>
      <c r="Y14" s="182">
        <v>6</v>
      </c>
      <c r="Z14" s="33" t="s">
        <v>10</v>
      </c>
      <c r="AA14" s="180" t="str">
        <f t="shared" si="3"/>
        <v>G6</v>
      </c>
      <c r="AB14" s="151" t="s">
        <v>217</v>
      </c>
      <c r="AC14" s="109">
        <f>Auszahlungen!AI13</f>
        <v>54500</v>
      </c>
    </row>
    <row r="15" spans="1:29" x14ac:dyDescent="0.2">
      <c r="A15" s="182">
        <v>7</v>
      </c>
      <c r="B15" s="33" t="s">
        <v>11</v>
      </c>
      <c r="C15" s="180" t="str">
        <f t="shared" si="0"/>
        <v/>
      </c>
      <c r="D15" s="99" t="s">
        <v>216</v>
      </c>
      <c r="E15" s="109">
        <f>Auszahlungen!H14</f>
        <v>0</v>
      </c>
      <c r="G15" s="143"/>
      <c r="H15" s="121"/>
      <c r="I15" s="182">
        <v>7</v>
      </c>
      <c r="J15" s="33" t="s">
        <v>11</v>
      </c>
      <c r="K15" s="180" t="str">
        <f t="shared" si="1"/>
        <v/>
      </c>
      <c r="L15" s="99" t="s">
        <v>216</v>
      </c>
      <c r="M15" s="109">
        <f>Auszahlungen!Q14</f>
        <v>0</v>
      </c>
      <c r="P15" s="121"/>
      <c r="Q15" s="182">
        <v>7</v>
      </c>
      <c r="R15" s="33" t="s">
        <v>11</v>
      </c>
      <c r="S15" s="180" t="str">
        <f t="shared" si="2"/>
        <v/>
      </c>
      <c r="T15" s="99" t="s">
        <v>216</v>
      </c>
      <c r="U15" s="109">
        <f>Auszahlungen!Z14</f>
        <v>0</v>
      </c>
      <c r="X15" s="121"/>
      <c r="Y15" s="182">
        <v>7</v>
      </c>
      <c r="Z15" s="33" t="s">
        <v>11</v>
      </c>
      <c r="AA15" s="180" t="str">
        <f t="shared" si="3"/>
        <v/>
      </c>
      <c r="AB15" s="99" t="s">
        <v>216</v>
      </c>
      <c r="AC15" s="109">
        <f>Auszahlungen!AI14</f>
        <v>0</v>
      </c>
    </row>
    <row r="16" spans="1:29" x14ac:dyDescent="0.2">
      <c r="A16" s="182">
        <v>8</v>
      </c>
      <c r="B16" s="33" t="s">
        <v>12</v>
      </c>
      <c r="C16" s="180" t="str">
        <f t="shared" si="0"/>
        <v>G8</v>
      </c>
      <c r="D16" s="151" t="s">
        <v>216</v>
      </c>
      <c r="E16" s="109">
        <f>Auszahlungen!H15</f>
        <v>11200</v>
      </c>
      <c r="G16" s="143"/>
      <c r="H16" s="121"/>
      <c r="I16" s="182">
        <v>8</v>
      </c>
      <c r="J16" s="33" t="s">
        <v>12</v>
      </c>
      <c r="K16" s="180" t="str">
        <f t="shared" si="1"/>
        <v>G8</v>
      </c>
      <c r="L16" s="151" t="s">
        <v>216</v>
      </c>
      <c r="M16" s="109">
        <f>Auszahlungen!Q15</f>
        <v>11200</v>
      </c>
      <c r="P16" s="121"/>
      <c r="Q16" s="182">
        <v>8</v>
      </c>
      <c r="R16" s="33" t="s">
        <v>12</v>
      </c>
      <c r="S16" s="180" t="str">
        <f t="shared" si="2"/>
        <v>G8</v>
      </c>
      <c r="T16" s="151" t="s">
        <v>216</v>
      </c>
      <c r="U16" s="109">
        <f>Auszahlungen!Z15</f>
        <v>11200</v>
      </c>
      <c r="X16" s="121"/>
      <c r="Y16" s="182">
        <v>8</v>
      </c>
      <c r="Z16" s="33" t="s">
        <v>12</v>
      </c>
      <c r="AA16" s="180" t="str">
        <f t="shared" si="3"/>
        <v>G8</v>
      </c>
      <c r="AB16" s="151" t="s">
        <v>216</v>
      </c>
      <c r="AC16" s="109">
        <f>Auszahlungen!AI15</f>
        <v>10800</v>
      </c>
    </row>
    <row r="17" spans="1:29" x14ac:dyDescent="0.2">
      <c r="A17" s="182">
        <v>9</v>
      </c>
      <c r="B17" s="33" t="s">
        <v>13</v>
      </c>
      <c r="C17" s="180" t="str">
        <f t="shared" si="0"/>
        <v/>
      </c>
      <c r="D17" s="151" t="s">
        <v>218</v>
      </c>
      <c r="E17" s="109">
        <f>Auszahlungen!H16</f>
        <v>0</v>
      </c>
      <c r="G17" s="143"/>
      <c r="H17" s="121"/>
      <c r="I17" s="182">
        <v>9</v>
      </c>
      <c r="J17" s="33" t="s">
        <v>13</v>
      </c>
      <c r="K17" s="180" t="str">
        <f t="shared" si="1"/>
        <v/>
      </c>
      <c r="L17" s="151" t="s">
        <v>218</v>
      </c>
      <c r="M17" s="109">
        <f>Auszahlungen!Q16</f>
        <v>0</v>
      </c>
      <c r="P17" s="121"/>
      <c r="Q17" s="182">
        <v>9</v>
      </c>
      <c r="R17" s="33" t="s">
        <v>13</v>
      </c>
      <c r="S17" s="180" t="str">
        <f t="shared" si="2"/>
        <v/>
      </c>
      <c r="T17" s="151" t="s">
        <v>218</v>
      </c>
      <c r="U17" s="109">
        <f>Auszahlungen!Z16</f>
        <v>0</v>
      </c>
      <c r="X17" s="121"/>
      <c r="Y17" s="182">
        <v>9</v>
      </c>
      <c r="Z17" s="33" t="s">
        <v>13</v>
      </c>
      <c r="AA17" s="180" t="str">
        <f t="shared" si="3"/>
        <v/>
      </c>
      <c r="AB17" s="151" t="s">
        <v>218</v>
      </c>
      <c r="AC17" s="109">
        <f>Auszahlungen!AI16</f>
        <v>0</v>
      </c>
    </row>
    <row r="18" spans="1:29" x14ac:dyDescent="0.2">
      <c r="A18" s="182">
        <v>10</v>
      </c>
      <c r="B18" s="33" t="s">
        <v>14</v>
      </c>
      <c r="C18" s="180" t="str">
        <f t="shared" si="0"/>
        <v>G10</v>
      </c>
      <c r="D18" s="151" t="s">
        <v>216</v>
      </c>
      <c r="E18" s="109">
        <f>Auszahlungen!H17</f>
        <v>183800</v>
      </c>
      <c r="G18" s="143"/>
      <c r="H18" s="121"/>
      <c r="I18" s="182">
        <v>10</v>
      </c>
      <c r="J18" s="33" t="s">
        <v>14</v>
      </c>
      <c r="K18" s="180" t="str">
        <f t="shared" si="1"/>
        <v>G10</v>
      </c>
      <c r="L18" s="151" t="s">
        <v>216</v>
      </c>
      <c r="M18" s="109">
        <f>Auszahlungen!Q17</f>
        <v>183800</v>
      </c>
      <c r="P18" s="121"/>
      <c r="Q18" s="182">
        <v>10</v>
      </c>
      <c r="R18" s="33" t="s">
        <v>14</v>
      </c>
      <c r="S18" s="180" t="str">
        <f t="shared" si="2"/>
        <v>G10</v>
      </c>
      <c r="T18" s="151" t="s">
        <v>216</v>
      </c>
      <c r="U18" s="109">
        <f>Auszahlungen!Z17</f>
        <v>183800</v>
      </c>
      <c r="X18" s="121"/>
      <c r="Y18" s="182">
        <v>10</v>
      </c>
      <c r="Z18" s="33" t="s">
        <v>14</v>
      </c>
      <c r="AA18" s="180" t="str">
        <f t="shared" si="3"/>
        <v>G10</v>
      </c>
      <c r="AB18" s="151" t="s">
        <v>216</v>
      </c>
      <c r="AC18" s="109">
        <f>Auszahlungen!AI17</f>
        <v>183800</v>
      </c>
    </row>
    <row r="19" spans="1:29" x14ac:dyDescent="0.2">
      <c r="A19" s="182">
        <v>11</v>
      </c>
      <c r="B19" s="33" t="s">
        <v>15</v>
      </c>
      <c r="C19" s="180" t="str">
        <f t="shared" si="0"/>
        <v>G11</v>
      </c>
      <c r="D19" s="151" t="s">
        <v>216</v>
      </c>
      <c r="E19" s="109">
        <f>Auszahlungen!H18</f>
        <v>533800</v>
      </c>
      <c r="G19" s="143"/>
      <c r="H19" s="121"/>
      <c r="I19" s="182">
        <v>11</v>
      </c>
      <c r="J19" s="33" t="s">
        <v>15</v>
      </c>
      <c r="K19" s="180" t="str">
        <f t="shared" si="1"/>
        <v>G11</v>
      </c>
      <c r="L19" s="151" t="s">
        <v>216</v>
      </c>
      <c r="M19" s="109">
        <f>Auszahlungen!Q18</f>
        <v>533800</v>
      </c>
      <c r="P19" s="121"/>
      <c r="Q19" s="182">
        <v>11</v>
      </c>
      <c r="R19" s="33" t="s">
        <v>15</v>
      </c>
      <c r="S19" s="180" t="str">
        <f t="shared" si="2"/>
        <v>G11</v>
      </c>
      <c r="T19" s="151" t="s">
        <v>216</v>
      </c>
      <c r="U19" s="109">
        <f>Auszahlungen!Z18</f>
        <v>533800</v>
      </c>
      <c r="X19" s="121"/>
      <c r="Y19" s="182">
        <v>11</v>
      </c>
      <c r="Z19" s="33" t="s">
        <v>15</v>
      </c>
      <c r="AA19" s="180" t="str">
        <f t="shared" si="3"/>
        <v>G11</v>
      </c>
      <c r="AB19" s="151" t="s">
        <v>216</v>
      </c>
      <c r="AC19" s="109">
        <f>Auszahlungen!AI18</f>
        <v>533400</v>
      </c>
    </row>
    <row r="20" spans="1:29" x14ac:dyDescent="0.2">
      <c r="A20" s="182">
        <v>12</v>
      </c>
      <c r="B20" s="33" t="s">
        <v>16</v>
      </c>
      <c r="C20" s="180" t="str">
        <f t="shared" si="0"/>
        <v>G12</v>
      </c>
      <c r="D20" s="99" t="s">
        <v>216</v>
      </c>
      <c r="E20" s="109">
        <f>Auszahlungen!H19</f>
        <v>29800</v>
      </c>
      <c r="G20" s="143"/>
      <c r="H20" s="121"/>
      <c r="I20" s="182">
        <v>12</v>
      </c>
      <c r="J20" s="33" t="s">
        <v>16</v>
      </c>
      <c r="K20" s="180" t="str">
        <f t="shared" si="1"/>
        <v>G12</v>
      </c>
      <c r="L20" s="99" t="s">
        <v>216</v>
      </c>
      <c r="M20" s="109">
        <f>Auszahlungen!Q19</f>
        <v>29800</v>
      </c>
      <c r="P20" s="121"/>
      <c r="Q20" s="182">
        <v>12</v>
      </c>
      <c r="R20" s="33" t="s">
        <v>16</v>
      </c>
      <c r="S20" s="180" t="str">
        <f t="shared" si="2"/>
        <v>G12</v>
      </c>
      <c r="T20" s="99" t="s">
        <v>216</v>
      </c>
      <c r="U20" s="109">
        <f>Auszahlungen!Z19</f>
        <v>29800</v>
      </c>
      <c r="X20" s="121"/>
      <c r="Y20" s="182">
        <v>12</v>
      </c>
      <c r="Z20" s="33" t="s">
        <v>16</v>
      </c>
      <c r="AA20" s="180" t="str">
        <f t="shared" si="3"/>
        <v>G12</v>
      </c>
      <c r="AB20" s="99" t="s">
        <v>216</v>
      </c>
      <c r="AC20" s="109">
        <f>Auszahlungen!AI19</f>
        <v>29900</v>
      </c>
    </row>
    <row r="21" spans="1:29" x14ac:dyDescent="0.2">
      <c r="A21" s="182">
        <v>13</v>
      </c>
      <c r="B21" s="33" t="s">
        <v>17</v>
      </c>
      <c r="C21" s="180" t="str">
        <f t="shared" si="0"/>
        <v>G13</v>
      </c>
      <c r="D21" s="151" t="s">
        <v>218</v>
      </c>
      <c r="E21" s="109">
        <f>Auszahlungen!H20</f>
        <v>1434200</v>
      </c>
      <c r="G21" s="143"/>
      <c r="H21" s="121"/>
      <c r="I21" s="182">
        <v>13</v>
      </c>
      <c r="J21" s="33" t="s">
        <v>17</v>
      </c>
      <c r="K21" s="180" t="str">
        <f t="shared" si="1"/>
        <v>G13</v>
      </c>
      <c r="L21" s="151" t="s">
        <v>218</v>
      </c>
      <c r="M21" s="109">
        <f>Auszahlungen!Q20</f>
        <v>1434200</v>
      </c>
      <c r="P21" s="121"/>
      <c r="Q21" s="182">
        <v>13</v>
      </c>
      <c r="R21" s="33" t="s">
        <v>17</v>
      </c>
      <c r="S21" s="180" t="str">
        <f t="shared" si="2"/>
        <v>G13</v>
      </c>
      <c r="T21" s="151" t="s">
        <v>218</v>
      </c>
      <c r="U21" s="109">
        <f>Auszahlungen!Z20</f>
        <v>1434200</v>
      </c>
      <c r="X21" s="121"/>
      <c r="Y21" s="182">
        <v>13</v>
      </c>
      <c r="Z21" s="33" t="s">
        <v>17</v>
      </c>
      <c r="AA21" s="180" t="str">
        <f t="shared" si="3"/>
        <v>G13</v>
      </c>
      <c r="AB21" s="151" t="s">
        <v>218</v>
      </c>
      <c r="AC21" s="109">
        <f>Auszahlungen!AI20</f>
        <v>1433900</v>
      </c>
    </row>
    <row r="22" spans="1:29" x14ac:dyDescent="0.2">
      <c r="A22" s="182">
        <v>14</v>
      </c>
      <c r="B22" s="33" t="s">
        <v>18</v>
      </c>
      <c r="C22" s="180" t="str">
        <f t="shared" si="0"/>
        <v/>
      </c>
      <c r="D22" s="99" t="s">
        <v>218</v>
      </c>
      <c r="E22" s="109">
        <f>Auszahlungen!H21</f>
        <v>0</v>
      </c>
      <c r="G22" s="143"/>
      <c r="H22" s="121"/>
      <c r="I22" s="182">
        <v>14</v>
      </c>
      <c r="J22" s="33" t="s">
        <v>18</v>
      </c>
      <c r="K22" s="180" t="str">
        <f t="shared" si="1"/>
        <v/>
      </c>
      <c r="L22" s="99" t="s">
        <v>218</v>
      </c>
      <c r="M22" s="109">
        <f>Auszahlungen!Q21</f>
        <v>0</v>
      </c>
      <c r="P22" s="121"/>
      <c r="Q22" s="182">
        <v>14</v>
      </c>
      <c r="R22" s="33" t="s">
        <v>18</v>
      </c>
      <c r="S22" s="180" t="str">
        <f t="shared" si="2"/>
        <v/>
      </c>
      <c r="T22" s="99" t="s">
        <v>218</v>
      </c>
      <c r="U22" s="109">
        <f>Auszahlungen!Z21</f>
        <v>0</v>
      </c>
      <c r="X22" s="121"/>
      <c r="Y22" s="182">
        <v>14</v>
      </c>
      <c r="Z22" s="33" t="s">
        <v>18</v>
      </c>
      <c r="AA22" s="180" t="str">
        <f t="shared" si="3"/>
        <v/>
      </c>
      <c r="AB22" s="99" t="s">
        <v>218</v>
      </c>
      <c r="AC22" s="109">
        <f>Auszahlungen!AI21</f>
        <v>0</v>
      </c>
    </row>
    <row r="23" spans="1:29" x14ac:dyDescent="0.2">
      <c r="A23" s="182">
        <v>15</v>
      </c>
      <c r="B23" s="33" t="s">
        <v>19</v>
      </c>
      <c r="C23" s="180" t="str">
        <f t="shared" si="0"/>
        <v>G15</v>
      </c>
      <c r="D23" s="99" t="s">
        <v>218</v>
      </c>
      <c r="E23" s="109">
        <f>Auszahlungen!H22</f>
        <v>262500</v>
      </c>
      <c r="G23" s="143"/>
      <c r="H23" s="121"/>
      <c r="I23" s="182">
        <v>15</v>
      </c>
      <c r="J23" s="33" t="s">
        <v>19</v>
      </c>
      <c r="K23" s="180" t="str">
        <f t="shared" si="1"/>
        <v>G15</v>
      </c>
      <c r="L23" s="99" t="s">
        <v>218</v>
      </c>
      <c r="M23" s="109">
        <f>Auszahlungen!Q22</f>
        <v>262500</v>
      </c>
      <c r="P23" s="121"/>
      <c r="Q23" s="182">
        <v>15</v>
      </c>
      <c r="R23" s="33" t="s">
        <v>19</v>
      </c>
      <c r="S23" s="180" t="str">
        <f t="shared" si="2"/>
        <v>G15</v>
      </c>
      <c r="T23" s="99" t="s">
        <v>218</v>
      </c>
      <c r="U23" s="109">
        <f>Auszahlungen!Z22</f>
        <v>262500</v>
      </c>
      <c r="X23" s="121"/>
      <c r="Y23" s="182">
        <v>15</v>
      </c>
      <c r="Z23" s="33" t="s">
        <v>19</v>
      </c>
      <c r="AA23" s="180" t="str">
        <f t="shared" si="3"/>
        <v>G15</v>
      </c>
      <c r="AB23" s="99" t="s">
        <v>218</v>
      </c>
      <c r="AC23" s="109">
        <f>Auszahlungen!AI22</f>
        <v>262200</v>
      </c>
    </row>
    <row r="24" spans="1:29" x14ac:dyDescent="0.2">
      <c r="A24" s="182">
        <v>16</v>
      </c>
      <c r="B24" s="33" t="s">
        <v>20</v>
      </c>
      <c r="C24" s="180" t="str">
        <f t="shared" si="0"/>
        <v>G16</v>
      </c>
      <c r="D24" s="151" t="s">
        <v>216</v>
      </c>
      <c r="E24" s="109">
        <f>Auszahlungen!H23</f>
        <v>515800</v>
      </c>
      <c r="G24" s="143"/>
      <c r="H24" s="121"/>
      <c r="I24" s="182">
        <v>16</v>
      </c>
      <c r="J24" s="33" t="s">
        <v>20</v>
      </c>
      <c r="K24" s="180" t="str">
        <f t="shared" si="1"/>
        <v>G16</v>
      </c>
      <c r="L24" s="151" t="s">
        <v>216</v>
      </c>
      <c r="M24" s="109">
        <f>Auszahlungen!Q23</f>
        <v>515800</v>
      </c>
      <c r="P24" s="121"/>
      <c r="Q24" s="182">
        <v>16</v>
      </c>
      <c r="R24" s="33" t="s">
        <v>20</v>
      </c>
      <c r="S24" s="180" t="str">
        <f t="shared" si="2"/>
        <v>G16</v>
      </c>
      <c r="T24" s="151" t="s">
        <v>216</v>
      </c>
      <c r="U24" s="109">
        <f>Auszahlungen!Z23</f>
        <v>515800</v>
      </c>
      <c r="X24" s="121"/>
      <c r="Y24" s="182">
        <v>16</v>
      </c>
      <c r="Z24" s="33" t="s">
        <v>20</v>
      </c>
      <c r="AA24" s="180" t="str">
        <f t="shared" si="3"/>
        <v>G16</v>
      </c>
      <c r="AB24" s="151" t="s">
        <v>216</v>
      </c>
      <c r="AC24" s="109">
        <f>Auszahlungen!AI23</f>
        <v>515400</v>
      </c>
    </row>
    <row r="25" spans="1:29" x14ac:dyDescent="0.2">
      <c r="A25" s="182">
        <v>17</v>
      </c>
      <c r="B25" s="33" t="s">
        <v>21</v>
      </c>
      <c r="C25" s="180" t="str">
        <f t="shared" si="0"/>
        <v>G17</v>
      </c>
      <c r="D25" s="151" t="s">
        <v>216</v>
      </c>
      <c r="E25" s="109">
        <f>Auszahlungen!H24</f>
        <v>77600</v>
      </c>
      <c r="G25" s="143"/>
      <c r="H25" s="121"/>
      <c r="I25" s="182">
        <v>17</v>
      </c>
      <c r="J25" s="33" t="s">
        <v>21</v>
      </c>
      <c r="K25" s="180" t="str">
        <f t="shared" si="1"/>
        <v>G17</v>
      </c>
      <c r="L25" s="151" t="s">
        <v>216</v>
      </c>
      <c r="M25" s="109">
        <f>Auszahlungen!Q24</f>
        <v>77600</v>
      </c>
      <c r="P25" s="121"/>
      <c r="Q25" s="182">
        <v>17</v>
      </c>
      <c r="R25" s="33" t="s">
        <v>21</v>
      </c>
      <c r="S25" s="180" t="str">
        <f t="shared" si="2"/>
        <v>G17</v>
      </c>
      <c r="T25" s="151" t="s">
        <v>216</v>
      </c>
      <c r="U25" s="109">
        <f>Auszahlungen!Z24</f>
        <v>77600</v>
      </c>
      <c r="X25" s="121"/>
      <c r="Y25" s="182">
        <v>17</v>
      </c>
      <c r="Z25" s="33" t="s">
        <v>21</v>
      </c>
      <c r="AA25" s="180" t="str">
        <f t="shared" si="3"/>
        <v>G17</v>
      </c>
      <c r="AB25" s="151" t="s">
        <v>216</v>
      </c>
      <c r="AC25" s="109">
        <f>Auszahlungen!AI24</f>
        <v>77400</v>
      </c>
    </row>
    <row r="26" spans="1:29" x14ac:dyDescent="0.2">
      <c r="A26" s="182">
        <v>18</v>
      </c>
      <c r="B26" s="33" t="s">
        <v>22</v>
      </c>
      <c r="C26" s="180" t="str">
        <f t="shared" si="0"/>
        <v>G18</v>
      </c>
      <c r="D26" s="151" t="s">
        <v>216</v>
      </c>
      <c r="E26" s="109">
        <f>Auszahlungen!H25</f>
        <v>29700</v>
      </c>
      <c r="G26" s="143"/>
      <c r="H26" s="121"/>
      <c r="I26" s="182">
        <v>18</v>
      </c>
      <c r="J26" s="33" t="s">
        <v>22</v>
      </c>
      <c r="K26" s="180" t="str">
        <f t="shared" si="1"/>
        <v>G18</v>
      </c>
      <c r="L26" s="151" t="s">
        <v>216</v>
      </c>
      <c r="M26" s="109">
        <f>Auszahlungen!Q25</f>
        <v>29700</v>
      </c>
      <c r="P26" s="121"/>
      <c r="Q26" s="182">
        <v>18</v>
      </c>
      <c r="R26" s="33" t="s">
        <v>22</v>
      </c>
      <c r="S26" s="180" t="str">
        <f t="shared" si="2"/>
        <v>G18</v>
      </c>
      <c r="T26" s="151" t="s">
        <v>216</v>
      </c>
      <c r="U26" s="109">
        <f>Auszahlungen!Z25</f>
        <v>29700</v>
      </c>
      <c r="X26" s="121"/>
      <c r="Y26" s="182">
        <v>18</v>
      </c>
      <c r="Z26" s="33" t="s">
        <v>22</v>
      </c>
      <c r="AA26" s="180" t="str">
        <f t="shared" si="3"/>
        <v>G18</v>
      </c>
      <c r="AB26" s="151" t="s">
        <v>216</v>
      </c>
      <c r="AC26" s="109">
        <f>Auszahlungen!AI25</f>
        <v>29600</v>
      </c>
    </row>
    <row r="27" spans="1:29" x14ac:dyDescent="0.2">
      <c r="A27" s="182">
        <v>19</v>
      </c>
      <c r="B27" s="33" t="s">
        <v>23</v>
      </c>
      <c r="C27" s="180" t="str">
        <f t="shared" si="0"/>
        <v/>
      </c>
      <c r="D27" s="99" t="s">
        <v>216</v>
      </c>
      <c r="E27" s="109">
        <f>Auszahlungen!H26</f>
        <v>0</v>
      </c>
      <c r="G27" s="143"/>
      <c r="H27" s="121"/>
      <c r="I27" s="182">
        <v>19</v>
      </c>
      <c r="J27" s="33" t="s">
        <v>23</v>
      </c>
      <c r="K27" s="180" t="str">
        <f t="shared" si="1"/>
        <v/>
      </c>
      <c r="L27" s="99" t="s">
        <v>216</v>
      </c>
      <c r="M27" s="109">
        <f>Auszahlungen!Q26</f>
        <v>0</v>
      </c>
      <c r="P27" s="121"/>
      <c r="Q27" s="182">
        <v>19</v>
      </c>
      <c r="R27" s="33" t="s">
        <v>23</v>
      </c>
      <c r="S27" s="180" t="str">
        <f t="shared" si="2"/>
        <v/>
      </c>
      <c r="T27" s="99" t="s">
        <v>216</v>
      </c>
      <c r="U27" s="109">
        <f>Auszahlungen!Z26</f>
        <v>0</v>
      </c>
      <c r="X27" s="121"/>
      <c r="Y27" s="182">
        <v>19</v>
      </c>
      <c r="Z27" s="33" t="s">
        <v>23</v>
      </c>
      <c r="AA27" s="180" t="str">
        <f t="shared" si="3"/>
        <v/>
      </c>
      <c r="AB27" s="99" t="s">
        <v>216</v>
      </c>
      <c r="AC27" s="109">
        <f>Auszahlungen!AI26</f>
        <v>0</v>
      </c>
    </row>
    <row r="28" spans="1:29" x14ac:dyDescent="0.2">
      <c r="A28" s="182">
        <v>20</v>
      </c>
      <c r="B28" s="33" t="s">
        <v>24</v>
      </c>
      <c r="C28" s="180" t="str">
        <f t="shared" si="0"/>
        <v>G20</v>
      </c>
      <c r="D28" s="99" t="s">
        <v>216</v>
      </c>
      <c r="E28" s="109">
        <f>Auszahlungen!H27</f>
        <v>13800</v>
      </c>
      <c r="G28" s="143"/>
      <c r="H28" s="121"/>
      <c r="I28" s="182">
        <v>20</v>
      </c>
      <c r="J28" s="33" t="s">
        <v>24</v>
      </c>
      <c r="K28" s="180" t="str">
        <f t="shared" si="1"/>
        <v>G20</v>
      </c>
      <c r="L28" s="99" t="s">
        <v>216</v>
      </c>
      <c r="M28" s="109">
        <f>Auszahlungen!Q27</f>
        <v>13800</v>
      </c>
      <c r="P28" s="121"/>
      <c r="Q28" s="182">
        <v>20</v>
      </c>
      <c r="R28" s="33" t="s">
        <v>24</v>
      </c>
      <c r="S28" s="180" t="str">
        <f t="shared" si="2"/>
        <v>G20</v>
      </c>
      <c r="T28" s="99" t="s">
        <v>216</v>
      </c>
      <c r="U28" s="109">
        <f>Auszahlungen!Z27</f>
        <v>13800</v>
      </c>
      <c r="X28" s="121"/>
      <c r="Y28" s="182">
        <v>20</v>
      </c>
      <c r="Z28" s="33" t="s">
        <v>24</v>
      </c>
      <c r="AA28" s="180" t="str">
        <f t="shared" si="3"/>
        <v>G20</v>
      </c>
      <c r="AB28" s="99" t="s">
        <v>216</v>
      </c>
      <c r="AC28" s="109">
        <f>Auszahlungen!AI27</f>
        <v>13700</v>
      </c>
    </row>
    <row r="29" spans="1:29" x14ac:dyDescent="0.2">
      <c r="A29" s="182">
        <v>21</v>
      </c>
      <c r="B29" s="33" t="s">
        <v>25</v>
      </c>
      <c r="C29" s="180" t="str">
        <f t="shared" si="0"/>
        <v>G21</v>
      </c>
      <c r="D29" s="151" t="s">
        <v>215</v>
      </c>
      <c r="E29" s="109">
        <f>Auszahlungen!H28</f>
        <v>35600</v>
      </c>
      <c r="G29" s="143"/>
      <c r="H29" s="121"/>
      <c r="I29" s="182">
        <v>21</v>
      </c>
      <c r="J29" s="33" t="s">
        <v>25</v>
      </c>
      <c r="K29" s="180" t="str">
        <f t="shared" si="1"/>
        <v>G21</v>
      </c>
      <c r="L29" s="151" t="s">
        <v>215</v>
      </c>
      <c r="M29" s="109">
        <f>Auszahlungen!Q28</f>
        <v>35600</v>
      </c>
      <c r="P29" s="121"/>
      <c r="Q29" s="182">
        <v>21</v>
      </c>
      <c r="R29" s="33" t="s">
        <v>25</v>
      </c>
      <c r="S29" s="180" t="str">
        <f t="shared" si="2"/>
        <v>G21</v>
      </c>
      <c r="T29" s="151" t="s">
        <v>215</v>
      </c>
      <c r="U29" s="109">
        <f>Auszahlungen!Z28</f>
        <v>35600</v>
      </c>
      <c r="X29" s="121"/>
      <c r="Y29" s="182">
        <v>21</v>
      </c>
      <c r="Z29" s="33" t="s">
        <v>25</v>
      </c>
      <c r="AA29" s="180" t="str">
        <f t="shared" si="3"/>
        <v>G21</v>
      </c>
      <c r="AB29" s="151" t="s">
        <v>215</v>
      </c>
      <c r="AC29" s="109">
        <f>Auszahlungen!AI28</f>
        <v>35500</v>
      </c>
    </row>
    <row r="30" spans="1:29" x14ac:dyDescent="0.2">
      <c r="A30" s="182">
        <v>22</v>
      </c>
      <c r="B30" s="33" t="s">
        <v>26</v>
      </c>
      <c r="C30" s="180" t="str">
        <f t="shared" si="0"/>
        <v>G22</v>
      </c>
      <c r="D30" s="151" t="s">
        <v>218</v>
      </c>
      <c r="E30" s="109">
        <f>Auszahlungen!H29</f>
        <v>13800</v>
      </c>
      <c r="G30" s="143"/>
      <c r="H30" s="121"/>
      <c r="I30" s="182">
        <v>22</v>
      </c>
      <c r="J30" s="33" t="s">
        <v>26</v>
      </c>
      <c r="K30" s="180" t="str">
        <f t="shared" si="1"/>
        <v>G22</v>
      </c>
      <c r="L30" s="151" t="s">
        <v>218</v>
      </c>
      <c r="M30" s="109">
        <f>Auszahlungen!Q29</f>
        <v>13800</v>
      </c>
      <c r="P30" s="121"/>
      <c r="Q30" s="182">
        <v>22</v>
      </c>
      <c r="R30" s="33" t="s">
        <v>26</v>
      </c>
      <c r="S30" s="180" t="str">
        <f t="shared" si="2"/>
        <v>G22</v>
      </c>
      <c r="T30" s="151" t="s">
        <v>218</v>
      </c>
      <c r="U30" s="109">
        <f>Auszahlungen!Z29</f>
        <v>13800</v>
      </c>
      <c r="X30" s="121"/>
      <c r="Y30" s="182">
        <v>22</v>
      </c>
      <c r="Z30" s="33" t="s">
        <v>26</v>
      </c>
      <c r="AA30" s="180" t="str">
        <f t="shared" si="3"/>
        <v>G22</v>
      </c>
      <c r="AB30" s="151" t="s">
        <v>218</v>
      </c>
      <c r="AC30" s="109">
        <f>Auszahlungen!AI29</f>
        <v>13600</v>
      </c>
    </row>
    <row r="31" spans="1:29" x14ac:dyDescent="0.2">
      <c r="A31" s="182">
        <v>23</v>
      </c>
      <c r="B31" s="33" t="s">
        <v>27</v>
      </c>
      <c r="C31" s="180" t="str">
        <f t="shared" si="0"/>
        <v>G23</v>
      </c>
      <c r="D31" s="99" t="s">
        <v>216</v>
      </c>
      <c r="E31" s="109">
        <f>Auszahlungen!H30</f>
        <v>213500</v>
      </c>
      <c r="G31" s="143"/>
      <c r="H31" s="121"/>
      <c r="I31" s="182">
        <v>23</v>
      </c>
      <c r="J31" s="33" t="s">
        <v>27</v>
      </c>
      <c r="K31" s="180" t="str">
        <f t="shared" si="1"/>
        <v>G23</v>
      </c>
      <c r="L31" s="99" t="s">
        <v>216</v>
      </c>
      <c r="M31" s="109">
        <f>Auszahlungen!Q30</f>
        <v>213500</v>
      </c>
      <c r="P31" s="121"/>
      <c r="Q31" s="182">
        <v>23</v>
      </c>
      <c r="R31" s="33" t="s">
        <v>27</v>
      </c>
      <c r="S31" s="180" t="str">
        <f t="shared" si="2"/>
        <v>G23</v>
      </c>
      <c r="T31" s="99" t="s">
        <v>216</v>
      </c>
      <c r="U31" s="109">
        <f>Auszahlungen!Z30</f>
        <v>213500</v>
      </c>
      <c r="X31" s="121"/>
      <c r="Y31" s="182">
        <v>23</v>
      </c>
      <c r="Z31" s="33" t="s">
        <v>27</v>
      </c>
      <c r="AA31" s="180" t="str">
        <f t="shared" si="3"/>
        <v>G23</v>
      </c>
      <c r="AB31" s="99" t="s">
        <v>216</v>
      </c>
      <c r="AC31" s="109">
        <f>Auszahlungen!AI30</f>
        <v>213400</v>
      </c>
    </row>
    <row r="32" spans="1:29" x14ac:dyDescent="0.2">
      <c r="A32" s="182">
        <v>24</v>
      </c>
      <c r="B32" s="33" t="s">
        <v>28</v>
      </c>
      <c r="C32" s="180" t="str">
        <f t="shared" si="0"/>
        <v>G24</v>
      </c>
      <c r="D32" s="99" t="s">
        <v>216</v>
      </c>
      <c r="E32" s="109">
        <f>Auszahlungen!H31</f>
        <v>292200</v>
      </c>
      <c r="G32" s="143"/>
      <c r="H32" s="121"/>
      <c r="I32" s="182">
        <v>24</v>
      </c>
      <c r="J32" s="33" t="s">
        <v>28</v>
      </c>
      <c r="K32" s="180" t="str">
        <f t="shared" si="1"/>
        <v>G24</v>
      </c>
      <c r="L32" s="99" t="s">
        <v>216</v>
      </c>
      <c r="M32" s="109">
        <f>Auszahlungen!Q31</f>
        <v>292200</v>
      </c>
      <c r="P32" s="121"/>
      <c r="Q32" s="182">
        <v>24</v>
      </c>
      <c r="R32" s="33" t="s">
        <v>28</v>
      </c>
      <c r="S32" s="180" t="str">
        <f t="shared" si="2"/>
        <v>G24</v>
      </c>
      <c r="T32" s="99" t="s">
        <v>216</v>
      </c>
      <c r="U32" s="109">
        <f>Auszahlungen!Z31</f>
        <v>292200</v>
      </c>
      <c r="X32" s="121"/>
      <c r="Y32" s="182">
        <v>24</v>
      </c>
      <c r="Z32" s="33" t="s">
        <v>28</v>
      </c>
      <c r="AA32" s="180" t="str">
        <f t="shared" si="3"/>
        <v>G24</v>
      </c>
      <c r="AB32" s="99" t="s">
        <v>216</v>
      </c>
      <c r="AC32" s="109">
        <f>Auszahlungen!AI31</f>
        <v>291900</v>
      </c>
    </row>
    <row r="33" spans="1:29" x14ac:dyDescent="0.2">
      <c r="A33" s="182">
        <v>25</v>
      </c>
      <c r="B33" s="33" t="s">
        <v>29</v>
      </c>
      <c r="C33" s="180" t="str">
        <f t="shared" si="0"/>
        <v>G25</v>
      </c>
      <c r="D33" s="99" t="s">
        <v>216</v>
      </c>
      <c r="E33" s="109">
        <f>Auszahlungen!H32</f>
        <v>322900</v>
      </c>
      <c r="G33" s="143"/>
      <c r="H33" s="121"/>
      <c r="I33" s="182">
        <v>25</v>
      </c>
      <c r="J33" s="33" t="s">
        <v>29</v>
      </c>
      <c r="K33" s="180" t="str">
        <f t="shared" si="1"/>
        <v>G25</v>
      </c>
      <c r="L33" s="99" t="s">
        <v>216</v>
      </c>
      <c r="M33" s="109">
        <f>Auszahlungen!Q32</f>
        <v>322900</v>
      </c>
      <c r="P33" s="121"/>
      <c r="Q33" s="182">
        <v>25</v>
      </c>
      <c r="R33" s="33" t="s">
        <v>29</v>
      </c>
      <c r="S33" s="180" t="str">
        <f t="shared" si="2"/>
        <v>G25</v>
      </c>
      <c r="T33" s="99" t="s">
        <v>216</v>
      </c>
      <c r="U33" s="109">
        <f>Auszahlungen!Z32</f>
        <v>322900</v>
      </c>
      <c r="X33" s="121"/>
      <c r="Y33" s="182">
        <v>25</v>
      </c>
      <c r="Z33" s="33" t="s">
        <v>29</v>
      </c>
      <c r="AA33" s="180" t="str">
        <f t="shared" si="3"/>
        <v>G25</v>
      </c>
      <c r="AB33" s="99" t="s">
        <v>216</v>
      </c>
      <c r="AC33" s="109">
        <f>Auszahlungen!AI32</f>
        <v>322500</v>
      </c>
    </row>
    <row r="34" spans="1:29" x14ac:dyDescent="0.2">
      <c r="A34" s="182">
        <v>26</v>
      </c>
      <c r="B34" s="33" t="s">
        <v>30</v>
      </c>
      <c r="C34" s="180" t="str">
        <f t="shared" si="0"/>
        <v>G26</v>
      </c>
      <c r="D34" s="99" t="s">
        <v>216</v>
      </c>
      <c r="E34" s="109">
        <f>Auszahlungen!H33</f>
        <v>1138000</v>
      </c>
      <c r="G34" s="143"/>
      <c r="H34" s="121"/>
      <c r="I34" s="182">
        <v>26</v>
      </c>
      <c r="J34" s="33" t="s">
        <v>30</v>
      </c>
      <c r="K34" s="180" t="str">
        <f t="shared" si="1"/>
        <v>G26</v>
      </c>
      <c r="L34" s="99" t="s">
        <v>216</v>
      </c>
      <c r="M34" s="109">
        <f>Auszahlungen!Q33</f>
        <v>1138000</v>
      </c>
      <c r="P34" s="121"/>
      <c r="Q34" s="182">
        <v>26</v>
      </c>
      <c r="R34" s="33" t="s">
        <v>30</v>
      </c>
      <c r="S34" s="180" t="str">
        <f t="shared" si="2"/>
        <v>G26</v>
      </c>
      <c r="T34" s="99" t="s">
        <v>216</v>
      </c>
      <c r="U34" s="109">
        <f>Auszahlungen!Z33</f>
        <v>1138000</v>
      </c>
      <c r="X34" s="121"/>
      <c r="Y34" s="182">
        <v>26</v>
      </c>
      <c r="Z34" s="33" t="s">
        <v>30</v>
      </c>
      <c r="AA34" s="180" t="str">
        <f t="shared" si="3"/>
        <v>G26</v>
      </c>
      <c r="AB34" s="99" t="s">
        <v>216</v>
      </c>
      <c r="AC34" s="109">
        <f>Auszahlungen!AI33</f>
        <v>1137800</v>
      </c>
    </row>
    <row r="35" spans="1:29" x14ac:dyDescent="0.2">
      <c r="A35" s="182">
        <v>27</v>
      </c>
      <c r="B35" s="33" t="s">
        <v>31</v>
      </c>
      <c r="C35" s="180" t="str">
        <f t="shared" si="0"/>
        <v>G27</v>
      </c>
      <c r="D35" s="99" t="s">
        <v>218</v>
      </c>
      <c r="E35" s="109">
        <f>Auszahlungen!H34</f>
        <v>505100</v>
      </c>
      <c r="G35" s="143"/>
      <c r="H35" s="121"/>
      <c r="I35" s="182">
        <v>27</v>
      </c>
      <c r="J35" s="33" t="s">
        <v>31</v>
      </c>
      <c r="K35" s="180" t="str">
        <f t="shared" si="1"/>
        <v>G27</v>
      </c>
      <c r="L35" s="99" t="s">
        <v>218</v>
      </c>
      <c r="M35" s="109">
        <f>Auszahlungen!Q34</f>
        <v>505100</v>
      </c>
      <c r="P35" s="121"/>
      <c r="Q35" s="182">
        <v>27</v>
      </c>
      <c r="R35" s="33" t="s">
        <v>31</v>
      </c>
      <c r="S35" s="180" t="str">
        <f t="shared" si="2"/>
        <v>G27</v>
      </c>
      <c r="T35" s="99" t="s">
        <v>218</v>
      </c>
      <c r="U35" s="109">
        <f>Auszahlungen!Z34</f>
        <v>505100</v>
      </c>
      <c r="X35" s="121"/>
      <c r="Y35" s="182">
        <v>27</v>
      </c>
      <c r="Z35" s="33" t="s">
        <v>31</v>
      </c>
      <c r="AA35" s="180" t="str">
        <f t="shared" si="3"/>
        <v>G27</v>
      </c>
      <c r="AB35" s="99" t="s">
        <v>218</v>
      </c>
      <c r="AC35" s="109">
        <f>Auszahlungen!AI34</f>
        <v>505200</v>
      </c>
    </row>
    <row r="36" spans="1:29" x14ac:dyDescent="0.2">
      <c r="A36" s="182">
        <v>28</v>
      </c>
      <c r="B36" s="33" t="s">
        <v>32</v>
      </c>
      <c r="C36" s="180" t="str">
        <f t="shared" si="0"/>
        <v>G28</v>
      </c>
      <c r="D36" s="99" t="s">
        <v>219</v>
      </c>
      <c r="E36" s="109">
        <f>Auszahlungen!H35</f>
        <v>3300</v>
      </c>
      <c r="G36" s="143"/>
      <c r="H36" s="121"/>
      <c r="I36" s="182">
        <v>28</v>
      </c>
      <c r="J36" s="33" t="s">
        <v>32</v>
      </c>
      <c r="K36" s="180" t="str">
        <f t="shared" si="1"/>
        <v>G28</v>
      </c>
      <c r="L36" s="99" t="s">
        <v>219</v>
      </c>
      <c r="M36" s="109">
        <f>Auszahlungen!Q35</f>
        <v>3300</v>
      </c>
      <c r="P36" s="121"/>
      <c r="Q36" s="182">
        <v>28</v>
      </c>
      <c r="R36" s="33" t="s">
        <v>32</v>
      </c>
      <c r="S36" s="180" t="str">
        <f t="shared" si="2"/>
        <v>G28</v>
      </c>
      <c r="T36" s="99" t="s">
        <v>219</v>
      </c>
      <c r="U36" s="109">
        <f>Auszahlungen!Z35</f>
        <v>3300</v>
      </c>
      <c r="X36" s="121"/>
      <c r="Y36" s="182">
        <v>28</v>
      </c>
      <c r="Z36" s="33" t="s">
        <v>32</v>
      </c>
      <c r="AA36" s="180" t="str">
        <f t="shared" si="3"/>
        <v>G28</v>
      </c>
      <c r="AB36" s="99" t="s">
        <v>219</v>
      </c>
      <c r="AC36" s="109">
        <f>Auszahlungen!AI35</f>
        <v>3300</v>
      </c>
    </row>
    <row r="37" spans="1:29" x14ac:dyDescent="0.2">
      <c r="A37" s="182">
        <v>29</v>
      </c>
      <c r="B37" s="33" t="s">
        <v>33</v>
      </c>
      <c r="C37" s="180" t="str">
        <f t="shared" si="0"/>
        <v>G29</v>
      </c>
      <c r="D37" s="151" t="s">
        <v>216</v>
      </c>
      <c r="E37" s="109">
        <f>Auszahlungen!H36</f>
        <v>690000</v>
      </c>
      <c r="G37" s="143"/>
      <c r="H37" s="121"/>
      <c r="I37" s="182">
        <v>29</v>
      </c>
      <c r="J37" s="33" t="s">
        <v>33</v>
      </c>
      <c r="K37" s="180" t="str">
        <f t="shared" si="1"/>
        <v>G29</v>
      </c>
      <c r="L37" s="151" t="s">
        <v>216</v>
      </c>
      <c r="M37" s="109">
        <f>Auszahlungen!Q36</f>
        <v>690000</v>
      </c>
      <c r="P37" s="121"/>
      <c r="Q37" s="182">
        <v>29</v>
      </c>
      <c r="R37" s="33" t="s">
        <v>33</v>
      </c>
      <c r="S37" s="180" t="str">
        <f t="shared" si="2"/>
        <v>G29</v>
      </c>
      <c r="T37" s="151" t="s">
        <v>216</v>
      </c>
      <c r="U37" s="109">
        <f>Auszahlungen!Z36</f>
        <v>690000</v>
      </c>
      <c r="X37" s="121"/>
      <c r="Y37" s="182">
        <v>29</v>
      </c>
      <c r="Z37" s="33" t="s">
        <v>33</v>
      </c>
      <c r="AA37" s="180" t="str">
        <f t="shared" si="3"/>
        <v>G29</v>
      </c>
      <c r="AB37" s="151" t="s">
        <v>216</v>
      </c>
      <c r="AC37" s="109">
        <f>Auszahlungen!AI36</f>
        <v>689700</v>
      </c>
    </row>
    <row r="38" spans="1:29" x14ac:dyDescent="0.2">
      <c r="A38" s="182">
        <v>30</v>
      </c>
      <c r="B38" s="33" t="s">
        <v>34</v>
      </c>
      <c r="C38" s="180" t="str">
        <f t="shared" si="0"/>
        <v>G30</v>
      </c>
      <c r="D38" s="99" t="s">
        <v>216</v>
      </c>
      <c r="E38" s="109">
        <f>Auszahlungen!H37</f>
        <v>1039300</v>
      </c>
      <c r="G38" s="143"/>
      <c r="H38" s="121"/>
      <c r="I38" s="182">
        <v>30</v>
      </c>
      <c r="J38" s="33" t="s">
        <v>34</v>
      </c>
      <c r="K38" s="180" t="str">
        <f t="shared" si="1"/>
        <v>G30</v>
      </c>
      <c r="L38" s="99" t="s">
        <v>216</v>
      </c>
      <c r="M38" s="109">
        <f>Auszahlungen!Q37</f>
        <v>1039300</v>
      </c>
      <c r="P38" s="121"/>
      <c r="Q38" s="182">
        <v>30</v>
      </c>
      <c r="R38" s="33" t="s">
        <v>34</v>
      </c>
      <c r="S38" s="180" t="str">
        <f t="shared" si="2"/>
        <v>G30</v>
      </c>
      <c r="T38" s="99" t="s">
        <v>216</v>
      </c>
      <c r="U38" s="109">
        <f>Auszahlungen!Z37</f>
        <v>1039300</v>
      </c>
      <c r="X38" s="121"/>
      <c r="Y38" s="182">
        <v>30</v>
      </c>
      <c r="Z38" s="33" t="s">
        <v>34</v>
      </c>
      <c r="AA38" s="180" t="str">
        <f t="shared" si="3"/>
        <v>G30</v>
      </c>
      <c r="AB38" s="99" t="s">
        <v>216</v>
      </c>
      <c r="AC38" s="109">
        <f>Auszahlungen!AI37</f>
        <v>1038900</v>
      </c>
    </row>
    <row r="39" spans="1:29" x14ac:dyDescent="0.2">
      <c r="A39" s="182">
        <v>31</v>
      </c>
      <c r="B39" s="33" t="s">
        <v>35</v>
      </c>
      <c r="C39" s="180" t="str">
        <f t="shared" si="0"/>
        <v>G31</v>
      </c>
      <c r="D39" s="99" t="s">
        <v>216</v>
      </c>
      <c r="E39" s="109">
        <f>Auszahlungen!H38</f>
        <v>253000</v>
      </c>
      <c r="G39" s="143"/>
      <c r="H39" s="121"/>
      <c r="I39" s="182">
        <v>31</v>
      </c>
      <c r="J39" s="33" t="s">
        <v>35</v>
      </c>
      <c r="K39" s="180" t="str">
        <f t="shared" si="1"/>
        <v>G31</v>
      </c>
      <c r="L39" s="99" t="s">
        <v>216</v>
      </c>
      <c r="M39" s="109">
        <f>Auszahlungen!Q38</f>
        <v>253000</v>
      </c>
      <c r="P39" s="121"/>
      <c r="Q39" s="182">
        <v>31</v>
      </c>
      <c r="R39" s="33" t="s">
        <v>35</v>
      </c>
      <c r="S39" s="180" t="str">
        <f t="shared" si="2"/>
        <v>G31</v>
      </c>
      <c r="T39" s="99" t="s">
        <v>216</v>
      </c>
      <c r="U39" s="109">
        <f>Auszahlungen!Z38</f>
        <v>253000</v>
      </c>
      <c r="X39" s="121"/>
      <c r="Y39" s="182">
        <v>31</v>
      </c>
      <c r="Z39" s="33" t="s">
        <v>35</v>
      </c>
      <c r="AA39" s="180" t="str">
        <f t="shared" si="3"/>
        <v>G31</v>
      </c>
      <c r="AB39" s="99" t="s">
        <v>216</v>
      </c>
      <c r="AC39" s="109">
        <f>Auszahlungen!AI38</f>
        <v>253000</v>
      </c>
    </row>
    <row r="40" spans="1:29" x14ac:dyDescent="0.2">
      <c r="A40" s="182">
        <v>32</v>
      </c>
      <c r="B40" s="33" t="s">
        <v>36</v>
      </c>
      <c r="C40" s="180" t="str">
        <f t="shared" si="0"/>
        <v>G32</v>
      </c>
      <c r="D40" s="99" t="s">
        <v>216</v>
      </c>
      <c r="E40" s="109">
        <f>Auszahlungen!H39</f>
        <v>816500</v>
      </c>
      <c r="G40" s="143"/>
      <c r="H40" s="121"/>
      <c r="I40" s="182">
        <v>32</v>
      </c>
      <c r="J40" s="33" t="s">
        <v>36</v>
      </c>
      <c r="K40" s="180" t="str">
        <f t="shared" si="1"/>
        <v>G32</v>
      </c>
      <c r="L40" s="99" t="s">
        <v>216</v>
      </c>
      <c r="M40" s="109">
        <f>Auszahlungen!Q39</f>
        <v>816500</v>
      </c>
      <c r="P40" s="121"/>
      <c r="Q40" s="182">
        <v>32</v>
      </c>
      <c r="R40" s="33" t="s">
        <v>36</v>
      </c>
      <c r="S40" s="180" t="str">
        <f t="shared" si="2"/>
        <v>G32</v>
      </c>
      <c r="T40" s="99" t="s">
        <v>216</v>
      </c>
      <c r="U40" s="109">
        <f>Auszahlungen!Z39</f>
        <v>816500</v>
      </c>
      <c r="X40" s="121"/>
      <c r="Y40" s="182">
        <v>32</v>
      </c>
      <c r="Z40" s="33" t="s">
        <v>36</v>
      </c>
      <c r="AA40" s="180" t="str">
        <f t="shared" si="3"/>
        <v>G32</v>
      </c>
      <c r="AB40" s="99" t="s">
        <v>216</v>
      </c>
      <c r="AC40" s="109">
        <f>Auszahlungen!AI39</f>
        <v>816500</v>
      </c>
    </row>
    <row r="41" spans="1:29" x14ac:dyDescent="0.2">
      <c r="A41" s="182">
        <v>33</v>
      </c>
      <c r="B41" s="33" t="s">
        <v>37</v>
      </c>
      <c r="C41" s="180" t="str">
        <f t="shared" si="0"/>
        <v>G33</v>
      </c>
      <c r="D41" s="151" t="s">
        <v>216</v>
      </c>
      <c r="E41" s="109">
        <f>Auszahlungen!H40</f>
        <v>1340400</v>
      </c>
      <c r="G41" s="143"/>
      <c r="H41" s="121"/>
      <c r="I41" s="182">
        <v>33</v>
      </c>
      <c r="J41" s="33" t="s">
        <v>37</v>
      </c>
      <c r="K41" s="180" t="str">
        <f t="shared" si="1"/>
        <v>G33</v>
      </c>
      <c r="L41" s="151" t="s">
        <v>216</v>
      </c>
      <c r="M41" s="109">
        <f>Auszahlungen!Q40</f>
        <v>1340400</v>
      </c>
      <c r="P41" s="121"/>
      <c r="Q41" s="182">
        <v>33</v>
      </c>
      <c r="R41" s="33" t="s">
        <v>37</v>
      </c>
      <c r="S41" s="180" t="str">
        <f t="shared" si="2"/>
        <v>G33</v>
      </c>
      <c r="T41" s="151" t="s">
        <v>216</v>
      </c>
      <c r="U41" s="109">
        <f>Auszahlungen!Z40</f>
        <v>1340400</v>
      </c>
      <c r="X41" s="121"/>
      <c r="Y41" s="182">
        <v>33</v>
      </c>
      <c r="Z41" s="33" t="s">
        <v>37</v>
      </c>
      <c r="AA41" s="180" t="str">
        <f t="shared" si="3"/>
        <v>G33</v>
      </c>
      <c r="AB41" s="151" t="s">
        <v>216</v>
      </c>
      <c r="AC41" s="109">
        <f>Auszahlungen!AI40</f>
        <v>1340500</v>
      </c>
    </row>
    <row r="42" spans="1:29" x14ac:dyDescent="0.2">
      <c r="A42" s="182">
        <v>34</v>
      </c>
      <c r="B42" s="33" t="s">
        <v>38</v>
      </c>
      <c r="C42" s="180" t="str">
        <f t="shared" si="0"/>
        <v>G34</v>
      </c>
      <c r="D42" s="99" t="s">
        <v>216</v>
      </c>
      <c r="E42" s="109">
        <f>Auszahlungen!H41</f>
        <v>772400</v>
      </c>
      <c r="G42" s="143"/>
      <c r="H42" s="121"/>
      <c r="I42" s="182">
        <v>34</v>
      </c>
      <c r="J42" s="33" t="s">
        <v>38</v>
      </c>
      <c r="K42" s="180" t="str">
        <f t="shared" si="1"/>
        <v>G34</v>
      </c>
      <c r="L42" s="99" t="s">
        <v>216</v>
      </c>
      <c r="M42" s="109">
        <f>Auszahlungen!Q41</f>
        <v>772400</v>
      </c>
      <c r="P42" s="121"/>
      <c r="Q42" s="182">
        <v>34</v>
      </c>
      <c r="R42" s="33" t="s">
        <v>38</v>
      </c>
      <c r="S42" s="180" t="str">
        <f t="shared" si="2"/>
        <v>G34</v>
      </c>
      <c r="T42" s="99" t="s">
        <v>216</v>
      </c>
      <c r="U42" s="109">
        <f>Auszahlungen!Z41</f>
        <v>772400</v>
      </c>
      <c r="X42" s="121"/>
      <c r="Y42" s="182">
        <v>34</v>
      </c>
      <c r="Z42" s="33" t="s">
        <v>38</v>
      </c>
      <c r="AA42" s="180" t="str">
        <f t="shared" si="3"/>
        <v>G34</v>
      </c>
      <c r="AB42" s="99" t="s">
        <v>216</v>
      </c>
      <c r="AC42" s="109">
        <f>Auszahlungen!AI41</f>
        <v>772400</v>
      </c>
    </row>
    <row r="43" spans="1:29" x14ac:dyDescent="0.2">
      <c r="A43" s="182">
        <v>35</v>
      </c>
      <c r="B43" s="33" t="s">
        <v>39</v>
      </c>
      <c r="C43" s="180" t="str">
        <f t="shared" si="0"/>
        <v>G35</v>
      </c>
      <c r="D43" s="99" t="s">
        <v>216</v>
      </c>
      <c r="E43" s="109">
        <f>Auszahlungen!H42</f>
        <v>812300</v>
      </c>
      <c r="G43" s="143"/>
      <c r="H43" s="121"/>
      <c r="I43" s="182">
        <v>35</v>
      </c>
      <c r="J43" s="33" t="s">
        <v>39</v>
      </c>
      <c r="K43" s="180" t="str">
        <f t="shared" si="1"/>
        <v>G35</v>
      </c>
      <c r="L43" s="99" t="s">
        <v>216</v>
      </c>
      <c r="M43" s="109">
        <f>Auszahlungen!Q42</f>
        <v>812300</v>
      </c>
      <c r="P43" s="121"/>
      <c r="Q43" s="182">
        <v>35</v>
      </c>
      <c r="R43" s="33" t="s">
        <v>39</v>
      </c>
      <c r="S43" s="180" t="str">
        <f t="shared" si="2"/>
        <v>G35</v>
      </c>
      <c r="T43" s="99" t="s">
        <v>216</v>
      </c>
      <c r="U43" s="109">
        <f>Auszahlungen!Z42</f>
        <v>812300</v>
      </c>
      <c r="X43" s="121"/>
      <c r="Y43" s="182">
        <v>35</v>
      </c>
      <c r="Z43" s="33" t="s">
        <v>39</v>
      </c>
      <c r="AA43" s="180" t="str">
        <f t="shared" si="3"/>
        <v>G35</v>
      </c>
      <c r="AB43" s="99" t="s">
        <v>216</v>
      </c>
      <c r="AC43" s="109">
        <f>Auszahlungen!AI42</f>
        <v>812000</v>
      </c>
    </row>
    <row r="44" spans="1:29" x14ac:dyDescent="0.2">
      <c r="A44" s="182">
        <v>36</v>
      </c>
      <c r="B44" s="33" t="s">
        <v>40</v>
      </c>
      <c r="C44" s="180" t="str">
        <f t="shared" si="0"/>
        <v/>
      </c>
      <c r="D44" s="99" t="s">
        <v>216</v>
      </c>
      <c r="E44" s="109">
        <f>Auszahlungen!H43</f>
        <v>0</v>
      </c>
      <c r="G44" s="143"/>
      <c r="H44" s="121"/>
      <c r="I44" s="182">
        <v>36</v>
      </c>
      <c r="J44" s="33" t="s">
        <v>40</v>
      </c>
      <c r="K44" s="180" t="str">
        <f t="shared" si="1"/>
        <v/>
      </c>
      <c r="L44" s="99" t="s">
        <v>216</v>
      </c>
      <c r="M44" s="109">
        <f>Auszahlungen!Q43</f>
        <v>0</v>
      </c>
      <c r="P44" s="121"/>
      <c r="Q44" s="182">
        <v>36</v>
      </c>
      <c r="R44" s="33" t="s">
        <v>40</v>
      </c>
      <c r="S44" s="180" t="str">
        <f t="shared" si="2"/>
        <v/>
      </c>
      <c r="T44" s="99" t="s">
        <v>216</v>
      </c>
      <c r="U44" s="109">
        <f>Auszahlungen!Z43</f>
        <v>0</v>
      </c>
      <c r="X44" s="121"/>
      <c r="Y44" s="182">
        <v>36</v>
      </c>
      <c r="Z44" s="33" t="s">
        <v>40</v>
      </c>
      <c r="AA44" s="180" t="str">
        <f t="shared" si="3"/>
        <v/>
      </c>
      <c r="AB44" s="99" t="s">
        <v>216</v>
      </c>
      <c r="AC44" s="109">
        <f>Auszahlungen!AI43</f>
        <v>0</v>
      </c>
    </row>
    <row r="45" spans="1:29" x14ac:dyDescent="0.2">
      <c r="A45" s="182">
        <v>37</v>
      </c>
      <c r="B45" s="33" t="s">
        <v>41</v>
      </c>
      <c r="C45" s="180" t="str">
        <f t="shared" si="0"/>
        <v>G37</v>
      </c>
      <c r="D45" s="151" t="s">
        <v>216</v>
      </c>
      <c r="E45" s="109">
        <f>Auszahlungen!H44</f>
        <v>933100</v>
      </c>
      <c r="G45" s="143"/>
      <c r="H45" s="121"/>
      <c r="I45" s="182">
        <v>37</v>
      </c>
      <c r="J45" s="33" t="s">
        <v>41</v>
      </c>
      <c r="K45" s="180" t="str">
        <f t="shared" si="1"/>
        <v>G37</v>
      </c>
      <c r="L45" s="151" t="s">
        <v>216</v>
      </c>
      <c r="M45" s="109">
        <f>Auszahlungen!Q44</f>
        <v>933100</v>
      </c>
      <c r="P45" s="121"/>
      <c r="Q45" s="182">
        <v>37</v>
      </c>
      <c r="R45" s="33" t="s">
        <v>41</v>
      </c>
      <c r="S45" s="180" t="str">
        <f t="shared" si="2"/>
        <v>G37</v>
      </c>
      <c r="T45" s="151" t="s">
        <v>216</v>
      </c>
      <c r="U45" s="109">
        <f>Auszahlungen!Z44</f>
        <v>933100</v>
      </c>
      <c r="X45" s="121"/>
      <c r="Y45" s="182">
        <v>37</v>
      </c>
      <c r="Z45" s="33" t="s">
        <v>41</v>
      </c>
      <c r="AA45" s="180" t="str">
        <f t="shared" si="3"/>
        <v>G37</v>
      </c>
      <c r="AB45" s="151" t="s">
        <v>216</v>
      </c>
      <c r="AC45" s="109">
        <f>Auszahlungen!AI44</f>
        <v>933100</v>
      </c>
    </row>
    <row r="46" spans="1:29" x14ac:dyDescent="0.2">
      <c r="A46" s="182">
        <v>38</v>
      </c>
      <c r="B46" s="33" t="s">
        <v>42</v>
      </c>
      <c r="C46" s="180" t="str">
        <f t="shared" si="0"/>
        <v>G38</v>
      </c>
      <c r="D46" s="151" t="s">
        <v>218</v>
      </c>
      <c r="E46" s="109">
        <f>Auszahlungen!H45</f>
        <v>1701700</v>
      </c>
      <c r="G46" s="143"/>
      <c r="H46" s="121"/>
      <c r="I46" s="182">
        <v>38</v>
      </c>
      <c r="J46" s="33" t="s">
        <v>42</v>
      </c>
      <c r="K46" s="180" t="str">
        <f t="shared" si="1"/>
        <v>G38</v>
      </c>
      <c r="L46" s="151" t="s">
        <v>218</v>
      </c>
      <c r="M46" s="109">
        <f>Auszahlungen!Q45</f>
        <v>1701700</v>
      </c>
      <c r="P46" s="121"/>
      <c r="Q46" s="182">
        <v>38</v>
      </c>
      <c r="R46" s="33" t="s">
        <v>42</v>
      </c>
      <c r="S46" s="180" t="str">
        <f t="shared" si="2"/>
        <v>G38</v>
      </c>
      <c r="T46" s="151" t="s">
        <v>218</v>
      </c>
      <c r="U46" s="109">
        <f>Auszahlungen!Z45</f>
        <v>1701700</v>
      </c>
      <c r="X46" s="121"/>
      <c r="Y46" s="182">
        <v>38</v>
      </c>
      <c r="Z46" s="33" t="s">
        <v>42</v>
      </c>
      <c r="AA46" s="180" t="str">
        <f t="shared" si="3"/>
        <v>G38</v>
      </c>
      <c r="AB46" s="151" t="s">
        <v>218</v>
      </c>
      <c r="AC46" s="109">
        <f>Auszahlungen!AI45</f>
        <v>1701300</v>
      </c>
    </row>
    <row r="47" spans="1:29" x14ac:dyDescent="0.2">
      <c r="A47" s="182">
        <v>39</v>
      </c>
      <c r="B47" s="33" t="s">
        <v>43</v>
      </c>
      <c r="C47" s="180" t="str">
        <f t="shared" si="0"/>
        <v>G39</v>
      </c>
      <c r="D47" s="99" t="s">
        <v>216</v>
      </c>
      <c r="E47" s="109">
        <f>Auszahlungen!H46</f>
        <v>1118200</v>
      </c>
      <c r="G47" s="143"/>
      <c r="H47" s="121"/>
      <c r="I47" s="182">
        <v>39</v>
      </c>
      <c r="J47" s="33" t="s">
        <v>43</v>
      </c>
      <c r="K47" s="180" t="str">
        <f t="shared" si="1"/>
        <v>G39</v>
      </c>
      <c r="L47" s="99" t="s">
        <v>216</v>
      </c>
      <c r="M47" s="109">
        <f>Auszahlungen!Q46</f>
        <v>1118200</v>
      </c>
      <c r="P47" s="121"/>
      <c r="Q47" s="182">
        <v>39</v>
      </c>
      <c r="R47" s="33" t="s">
        <v>43</v>
      </c>
      <c r="S47" s="180" t="str">
        <f t="shared" si="2"/>
        <v>G39</v>
      </c>
      <c r="T47" s="99" t="s">
        <v>216</v>
      </c>
      <c r="U47" s="109">
        <f>Auszahlungen!Z46</f>
        <v>1118200</v>
      </c>
      <c r="X47" s="121"/>
      <c r="Y47" s="182">
        <v>39</v>
      </c>
      <c r="Z47" s="33" t="s">
        <v>43</v>
      </c>
      <c r="AA47" s="180" t="str">
        <f t="shared" si="3"/>
        <v>G39</v>
      </c>
      <c r="AB47" s="99" t="s">
        <v>216</v>
      </c>
      <c r="AC47" s="109">
        <f>Auszahlungen!AI46</f>
        <v>1117900</v>
      </c>
    </row>
    <row r="48" spans="1:29" x14ac:dyDescent="0.2">
      <c r="A48" s="182">
        <v>40</v>
      </c>
      <c r="B48" s="33" t="s">
        <v>44</v>
      </c>
      <c r="C48" s="180" t="str">
        <f t="shared" si="0"/>
        <v>G40</v>
      </c>
      <c r="D48" s="99" t="s">
        <v>218</v>
      </c>
      <c r="E48" s="109">
        <f>Auszahlungen!H47</f>
        <v>626900</v>
      </c>
      <c r="G48" s="143"/>
      <c r="H48" s="121"/>
      <c r="I48" s="182">
        <v>40</v>
      </c>
      <c r="J48" s="33" t="s">
        <v>44</v>
      </c>
      <c r="K48" s="180" t="str">
        <f t="shared" si="1"/>
        <v>G40</v>
      </c>
      <c r="L48" s="99" t="s">
        <v>218</v>
      </c>
      <c r="M48" s="109">
        <f>Auszahlungen!Q47</f>
        <v>626900</v>
      </c>
      <c r="P48" s="121"/>
      <c r="Q48" s="182">
        <v>40</v>
      </c>
      <c r="R48" s="33" t="s">
        <v>44</v>
      </c>
      <c r="S48" s="180" t="str">
        <f t="shared" si="2"/>
        <v>G40</v>
      </c>
      <c r="T48" s="99" t="s">
        <v>218</v>
      </c>
      <c r="U48" s="109">
        <f>Auszahlungen!Z47</f>
        <v>626900</v>
      </c>
      <c r="X48" s="121"/>
      <c r="Y48" s="182">
        <v>40</v>
      </c>
      <c r="Z48" s="33" t="s">
        <v>44</v>
      </c>
      <c r="AA48" s="180" t="str">
        <f t="shared" si="3"/>
        <v>G40</v>
      </c>
      <c r="AB48" s="99" t="s">
        <v>218</v>
      </c>
      <c r="AC48" s="109">
        <f>Auszahlungen!AI47</f>
        <v>627000</v>
      </c>
    </row>
    <row r="49" spans="1:29" x14ac:dyDescent="0.2">
      <c r="A49" s="182">
        <v>41</v>
      </c>
      <c r="B49" s="33" t="s">
        <v>45</v>
      </c>
      <c r="C49" s="180" t="str">
        <f t="shared" si="0"/>
        <v>G41</v>
      </c>
      <c r="D49" s="151" t="s">
        <v>216</v>
      </c>
      <c r="E49" s="109">
        <f>Auszahlungen!H48</f>
        <v>187000</v>
      </c>
      <c r="G49" s="143"/>
      <c r="H49" s="121"/>
      <c r="I49" s="182">
        <v>41</v>
      </c>
      <c r="J49" s="33" t="s">
        <v>45</v>
      </c>
      <c r="K49" s="180" t="str">
        <f t="shared" si="1"/>
        <v>G41</v>
      </c>
      <c r="L49" s="151" t="s">
        <v>216</v>
      </c>
      <c r="M49" s="109">
        <f>Auszahlungen!Q48</f>
        <v>187000</v>
      </c>
      <c r="P49" s="121"/>
      <c r="Q49" s="182">
        <v>41</v>
      </c>
      <c r="R49" s="33" t="s">
        <v>45</v>
      </c>
      <c r="S49" s="180" t="str">
        <f t="shared" si="2"/>
        <v>G41</v>
      </c>
      <c r="T49" s="151" t="s">
        <v>216</v>
      </c>
      <c r="U49" s="109">
        <f>Auszahlungen!Z48</f>
        <v>187000</v>
      </c>
      <c r="X49" s="121"/>
      <c r="Y49" s="182">
        <v>41</v>
      </c>
      <c r="Z49" s="33" t="s">
        <v>45</v>
      </c>
      <c r="AA49" s="180" t="str">
        <f t="shared" si="3"/>
        <v>G41</v>
      </c>
      <c r="AB49" s="151" t="s">
        <v>216</v>
      </c>
      <c r="AC49" s="109">
        <f>Auszahlungen!AI48</f>
        <v>186900</v>
      </c>
    </row>
    <row r="50" spans="1:29" x14ac:dyDescent="0.2">
      <c r="A50" s="182">
        <v>42</v>
      </c>
      <c r="B50" s="33" t="s">
        <v>46</v>
      </c>
      <c r="C50" s="180" t="str">
        <f t="shared" si="0"/>
        <v>G42</v>
      </c>
      <c r="D50" s="151" t="s">
        <v>216</v>
      </c>
      <c r="E50" s="109">
        <f>Auszahlungen!H49</f>
        <v>130900</v>
      </c>
      <c r="G50" s="143"/>
      <c r="H50" s="121"/>
      <c r="I50" s="182">
        <v>42</v>
      </c>
      <c r="J50" s="33" t="s">
        <v>46</v>
      </c>
      <c r="K50" s="180" t="str">
        <f t="shared" si="1"/>
        <v>G42</v>
      </c>
      <c r="L50" s="151" t="s">
        <v>216</v>
      </c>
      <c r="M50" s="109">
        <f>Auszahlungen!Q49</f>
        <v>130900</v>
      </c>
      <c r="P50" s="121"/>
      <c r="Q50" s="182">
        <v>42</v>
      </c>
      <c r="R50" s="33" t="s">
        <v>46</v>
      </c>
      <c r="S50" s="180" t="str">
        <f t="shared" si="2"/>
        <v>G42</v>
      </c>
      <c r="T50" s="151" t="s">
        <v>216</v>
      </c>
      <c r="U50" s="109">
        <f>Auszahlungen!Z49</f>
        <v>130900</v>
      </c>
      <c r="X50" s="121"/>
      <c r="Y50" s="182">
        <v>42</v>
      </c>
      <c r="Z50" s="33" t="s">
        <v>46</v>
      </c>
      <c r="AA50" s="180" t="str">
        <f t="shared" si="3"/>
        <v>G42</v>
      </c>
      <c r="AB50" s="151" t="s">
        <v>216</v>
      </c>
      <c r="AC50" s="109">
        <f>Auszahlungen!AI49</f>
        <v>130800</v>
      </c>
    </row>
    <row r="51" spans="1:29" x14ac:dyDescent="0.2">
      <c r="A51" s="182">
        <v>43</v>
      </c>
      <c r="B51" s="33" t="s">
        <v>47</v>
      </c>
      <c r="C51" s="180" t="str">
        <f t="shared" si="0"/>
        <v/>
      </c>
      <c r="D51" s="99" t="s">
        <v>218</v>
      </c>
      <c r="E51" s="109">
        <f>Auszahlungen!H50</f>
        <v>0</v>
      </c>
      <c r="G51" s="143"/>
      <c r="H51" s="121"/>
      <c r="I51" s="182">
        <v>43</v>
      </c>
      <c r="J51" s="33" t="s">
        <v>47</v>
      </c>
      <c r="K51" s="180" t="str">
        <f t="shared" si="1"/>
        <v/>
      </c>
      <c r="L51" s="99" t="s">
        <v>218</v>
      </c>
      <c r="M51" s="109">
        <f>Auszahlungen!Q50</f>
        <v>0</v>
      </c>
      <c r="P51" s="121"/>
      <c r="Q51" s="182">
        <v>43</v>
      </c>
      <c r="R51" s="33" t="s">
        <v>47</v>
      </c>
      <c r="S51" s="180" t="str">
        <f t="shared" si="2"/>
        <v/>
      </c>
      <c r="T51" s="99" t="s">
        <v>218</v>
      </c>
      <c r="U51" s="109">
        <f>Auszahlungen!Z50</f>
        <v>0</v>
      </c>
      <c r="X51" s="121"/>
      <c r="Y51" s="182">
        <v>43</v>
      </c>
      <c r="Z51" s="33" t="s">
        <v>47</v>
      </c>
      <c r="AA51" s="180" t="str">
        <f t="shared" si="3"/>
        <v/>
      </c>
      <c r="AB51" s="99" t="s">
        <v>218</v>
      </c>
      <c r="AC51" s="109">
        <f>Auszahlungen!AI50</f>
        <v>0</v>
      </c>
    </row>
    <row r="52" spans="1:29" x14ac:dyDescent="0.2">
      <c r="A52" s="182">
        <v>44</v>
      </c>
      <c r="B52" s="33" t="s">
        <v>48</v>
      </c>
      <c r="C52" s="180" t="str">
        <f t="shared" si="0"/>
        <v>G44</v>
      </c>
      <c r="D52" s="151" t="s">
        <v>216</v>
      </c>
      <c r="E52" s="109">
        <f>Auszahlungen!H51</f>
        <v>1166700</v>
      </c>
      <c r="G52" s="143"/>
      <c r="H52" s="121"/>
      <c r="I52" s="182">
        <v>44</v>
      </c>
      <c r="J52" s="33" t="s">
        <v>48</v>
      </c>
      <c r="K52" s="180" t="str">
        <f t="shared" si="1"/>
        <v>G44</v>
      </c>
      <c r="L52" s="151" t="s">
        <v>216</v>
      </c>
      <c r="M52" s="109">
        <f>Auszahlungen!Q51</f>
        <v>1166700</v>
      </c>
      <c r="P52" s="121"/>
      <c r="Q52" s="182">
        <v>44</v>
      </c>
      <c r="R52" s="33" t="s">
        <v>48</v>
      </c>
      <c r="S52" s="180" t="str">
        <f t="shared" si="2"/>
        <v>G44</v>
      </c>
      <c r="T52" s="151" t="s">
        <v>216</v>
      </c>
      <c r="U52" s="109">
        <f>Auszahlungen!Z51</f>
        <v>1166700</v>
      </c>
      <c r="X52" s="121"/>
      <c r="Y52" s="182">
        <v>44</v>
      </c>
      <c r="Z52" s="33" t="s">
        <v>48</v>
      </c>
      <c r="AA52" s="180" t="str">
        <f t="shared" si="3"/>
        <v>G44</v>
      </c>
      <c r="AB52" s="151" t="s">
        <v>216</v>
      </c>
      <c r="AC52" s="109">
        <f>Auszahlungen!AI51</f>
        <v>1166300</v>
      </c>
    </row>
    <row r="53" spans="1:29" x14ac:dyDescent="0.2">
      <c r="A53" s="182">
        <v>45</v>
      </c>
      <c r="B53" s="33" t="s">
        <v>49</v>
      </c>
      <c r="C53" s="180" t="str">
        <f t="shared" si="0"/>
        <v>G45</v>
      </c>
      <c r="D53" s="151" t="s">
        <v>218</v>
      </c>
      <c r="E53" s="109">
        <f>Auszahlungen!H52</f>
        <v>745000</v>
      </c>
      <c r="G53" s="143"/>
      <c r="H53" s="121"/>
      <c r="I53" s="182">
        <v>45</v>
      </c>
      <c r="J53" s="33" t="s">
        <v>49</v>
      </c>
      <c r="K53" s="180" t="str">
        <f t="shared" si="1"/>
        <v>G45</v>
      </c>
      <c r="L53" s="151" t="s">
        <v>218</v>
      </c>
      <c r="M53" s="109">
        <f>Auszahlungen!Q52</f>
        <v>745000</v>
      </c>
      <c r="P53" s="121"/>
      <c r="Q53" s="182">
        <v>45</v>
      </c>
      <c r="R53" s="33" t="s">
        <v>49</v>
      </c>
      <c r="S53" s="180" t="str">
        <f t="shared" si="2"/>
        <v>G45</v>
      </c>
      <c r="T53" s="151" t="s">
        <v>218</v>
      </c>
      <c r="U53" s="109">
        <f>Auszahlungen!Z52</f>
        <v>745000</v>
      </c>
      <c r="X53" s="121"/>
      <c r="Y53" s="182">
        <v>45</v>
      </c>
      <c r="Z53" s="33" t="s">
        <v>49</v>
      </c>
      <c r="AA53" s="180" t="str">
        <f t="shared" si="3"/>
        <v>G45</v>
      </c>
      <c r="AB53" s="151" t="s">
        <v>218</v>
      </c>
      <c r="AC53" s="109">
        <f>Auszahlungen!AI52</f>
        <v>744900</v>
      </c>
    </row>
    <row r="54" spans="1:29" x14ac:dyDescent="0.2">
      <c r="A54" s="182">
        <v>46</v>
      </c>
      <c r="B54" s="33" t="s">
        <v>50</v>
      </c>
      <c r="C54" s="180" t="str">
        <f t="shared" si="0"/>
        <v>G46</v>
      </c>
      <c r="D54" s="151" t="s">
        <v>218</v>
      </c>
      <c r="E54" s="109">
        <f>Auszahlungen!H53</f>
        <v>798600</v>
      </c>
      <c r="G54" s="143"/>
      <c r="H54" s="121"/>
      <c r="I54" s="182">
        <v>46</v>
      </c>
      <c r="J54" s="33" t="s">
        <v>50</v>
      </c>
      <c r="K54" s="180" t="str">
        <f t="shared" si="1"/>
        <v>G46</v>
      </c>
      <c r="L54" s="151" t="s">
        <v>218</v>
      </c>
      <c r="M54" s="109">
        <f>Auszahlungen!Q53</f>
        <v>798600</v>
      </c>
      <c r="P54" s="121"/>
      <c r="Q54" s="182">
        <v>46</v>
      </c>
      <c r="R54" s="33" t="s">
        <v>50</v>
      </c>
      <c r="S54" s="180" t="str">
        <f t="shared" si="2"/>
        <v>G46</v>
      </c>
      <c r="T54" s="151" t="s">
        <v>218</v>
      </c>
      <c r="U54" s="109">
        <f>Auszahlungen!Z53</f>
        <v>798600</v>
      </c>
      <c r="X54" s="121"/>
      <c r="Y54" s="182">
        <v>46</v>
      </c>
      <c r="Z54" s="33" t="s">
        <v>50</v>
      </c>
      <c r="AA54" s="180" t="str">
        <f t="shared" si="3"/>
        <v>G46</v>
      </c>
      <c r="AB54" s="151" t="s">
        <v>218</v>
      </c>
      <c r="AC54" s="109">
        <f>Auszahlungen!AI53</f>
        <v>798700</v>
      </c>
    </row>
    <row r="55" spans="1:29" x14ac:dyDescent="0.2">
      <c r="A55" s="182">
        <v>48</v>
      </c>
      <c r="B55" s="33" t="s">
        <v>51</v>
      </c>
      <c r="C55" s="180" t="str">
        <f t="shared" si="0"/>
        <v>G48</v>
      </c>
      <c r="D55" s="151" t="s">
        <v>216</v>
      </c>
      <c r="E55" s="109">
        <f>Auszahlungen!H54</f>
        <v>43100</v>
      </c>
      <c r="G55" s="143"/>
      <c r="H55" s="121"/>
      <c r="I55" s="182">
        <v>48</v>
      </c>
      <c r="J55" s="33" t="s">
        <v>51</v>
      </c>
      <c r="K55" s="180" t="str">
        <f t="shared" si="1"/>
        <v>G48</v>
      </c>
      <c r="L55" s="151" t="s">
        <v>216</v>
      </c>
      <c r="M55" s="109">
        <f>Auszahlungen!Q54</f>
        <v>43100</v>
      </c>
      <c r="P55" s="121"/>
      <c r="Q55" s="182">
        <v>48</v>
      </c>
      <c r="R55" s="33" t="s">
        <v>51</v>
      </c>
      <c r="S55" s="180" t="str">
        <f t="shared" si="2"/>
        <v>G48</v>
      </c>
      <c r="T55" s="151" t="s">
        <v>216</v>
      </c>
      <c r="U55" s="109">
        <f>Auszahlungen!Z54</f>
        <v>43100</v>
      </c>
      <c r="X55" s="121"/>
      <c r="Y55" s="182">
        <v>48</v>
      </c>
      <c r="Z55" s="33" t="s">
        <v>51</v>
      </c>
      <c r="AA55" s="180" t="str">
        <f t="shared" si="3"/>
        <v>G48</v>
      </c>
      <c r="AB55" s="151" t="s">
        <v>216</v>
      </c>
      <c r="AC55" s="109">
        <f>Auszahlungen!AI54</f>
        <v>43100</v>
      </c>
    </row>
    <row r="56" spans="1:29" x14ac:dyDescent="0.2">
      <c r="A56" s="182">
        <v>50</v>
      </c>
      <c r="B56" s="33" t="s">
        <v>52</v>
      </c>
      <c r="C56" s="180" t="str">
        <f t="shared" si="0"/>
        <v>G50</v>
      </c>
      <c r="D56" s="99" t="s">
        <v>216</v>
      </c>
      <c r="E56" s="109">
        <f>Auszahlungen!H55</f>
        <v>620500</v>
      </c>
      <c r="G56" s="143"/>
      <c r="H56" s="121"/>
      <c r="I56" s="182">
        <v>50</v>
      </c>
      <c r="J56" s="33" t="s">
        <v>52</v>
      </c>
      <c r="K56" s="180" t="str">
        <f t="shared" si="1"/>
        <v>G50</v>
      </c>
      <c r="L56" s="99" t="s">
        <v>216</v>
      </c>
      <c r="M56" s="109">
        <f>Auszahlungen!Q55</f>
        <v>620500</v>
      </c>
      <c r="P56" s="121"/>
      <c r="Q56" s="182">
        <v>50</v>
      </c>
      <c r="R56" s="33" t="s">
        <v>52</v>
      </c>
      <c r="S56" s="180" t="str">
        <f t="shared" si="2"/>
        <v>G50</v>
      </c>
      <c r="T56" s="99" t="s">
        <v>216</v>
      </c>
      <c r="U56" s="109">
        <f>Auszahlungen!Z55</f>
        <v>620500</v>
      </c>
      <c r="X56" s="121"/>
      <c r="Y56" s="182">
        <v>50</v>
      </c>
      <c r="Z56" s="33" t="s">
        <v>52</v>
      </c>
      <c r="AA56" s="180" t="str">
        <f t="shared" si="3"/>
        <v>G50</v>
      </c>
      <c r="AB56" s="99" t="s">
        <v>216</v>
      </c>
      <c r="AC56" s="109">
        <f>Auszahlungen!AI55</f>
        <v>620300</v>
      </c>
    </row>
    <row r="57" spans="1:29" x14ac:dyDescent="0.2">
      <c r="A57" s="182">
        <v>51</v>
      </c>
      <c r="B57" s="33" t="s">
        <v>53</v>
      </c>
      <c r="C57" s="180" t="str">
        <f t="shared" si="0"/>
        <v/>
      </c>
      <c r="D57" s="151" t="s">
        <v>216</v>
      </c>
      <c r="E57" s="109">
        <f>Auszahlungen!H56</f>
        <v>0</v>
      </c>
      <c r="G57" s="143"/>
      <c r="H57" s="121"/>
      <c r="I57" s="182">
        <v>51</v>
      </c>
      <c r="J57" s="33" t="s">
        <v>53</v>
      </c>
      <c r="K57" s="180" t="str">
        <f t="shared" si="1"/>
        <v/>
      </c>
      <c r="L57" s="151" t="s">
        <v>216</v>
      </c>
      <c r="M57" s="109">
        <f>Auszahlungen!Q56</f>
        <v>0</v>
      </c>
      <c r="P57" s="121"/>
      <c r="Q57" s="182">
        <v>51</v>
      </c>
      <c r="R57" s="33" t="s">
        <v>53</v>
      </c>
      <c r="S57" s="180" t="str">
        <f t="shared" si="2"/>
        <v/>
      </c>
      <c r="T57" s="151" t="s">
        <v>216</v>
      </c>
      <c r="U57" s="109">
        <f>Auszahlungen!Z56</f>
        <v>0</v>
      </c>
      <c r="X57" s="121"/>
      <c r="Y57" s="182">
        <v>51</v>
      </c>
      <c r="Z57" s="33" t="s">
        <v>53</v>
      </c>
      <c r="AA57" s="180" t="str">
        <f t="shared" si="3"/>
        <v/>
      </c>
      <c r="AB57" s="151" t="s">
        <v>216</v>
      </c>
      <c r="AC57" s="109">
        <f>Auszahlungen!AI56</f>
        <v>0</v>
      </c>
    </row>
    <row r="58" spans="1:29" x14ac:dyDescent="0.2">
      <c r="A58" s="182">
        <v>52</v>
      </c>
      <c r="B58" s="33" t="s">
        <v>54</v>
      </c>
      <c r="C58" s="180" t="str">
        <f t="shared" si="0"/>
        <v>G52</v>
      </c>
      <c r="D58" s="151" t="s">
        <v>216</v>
      </c>
      <c r="E58" s="109">
        <f>Auszahlungen!H57</f>
        <v>49800</v>
      </c>
      <c r="G58" s="143"/>
      <c r="H58" s="121"/>
      <c r="I58" s="182">
        <v>52</v>
      </c>
      <c r="J58" s="33" t="s">
        <v>54</v>
      </c>
      <c r="K58" s="180" t="str">
        <f t="shared" si="1"/>
        <v>G52</v>
      </c>
      <c r="L58" s="151" t="s">
        <v>216</v>
      </c>
      <c r="M58" s="109">
        <f>Auszahlungen!Q57</f>
        <v>49800</v>
      </c>
      <c r="P58" s="121"/>
      <c r="Q58" s="182">
        <v>52</v>
      </c>
      <c r="R58" s="33" t="s">
        <v>54</v>
      </c>
      <c r="S58" s="180" t="str">
        <f t="shared" si="2"/>
        <v>G52</v>
      </c>
      <c r="T58" s="151" t="s">
        <v>216</v>
      </c>
      <c r="U58" s="109">
        <f>Auszahlungen!Z57</f>
        <v>49800</v>
      </c>
      <c r="X58" s="121"/>
      <c r="Y58" s="182">
        <v>52</v>
      </c>
      <c r="Z58" s="33" t="s">
        <v>54</v>
      </c>
      <c r="AA58" s="180" t="str">
        <f t="shared" si="3"/>
        <v>G52</v>
      </c>
      <c r="AB58" s="151" t="s">
        <v>216</v>
      </c>
      <c r="AC58" s="109">
        <f>Auszahlungen!AI57</f>
        <v>49900</v>
      </c>
    </row>
    <row r="59" spans="1:29" x14ac:dyDescent="0.2">
      <c r="A59" s="182">
        <v>54</v>
      </c>
      <c r="B59" s="33" t="s">
        <v>55</v>
      </c>
      <c r="C59" s="180" t="str">
        <f t="shared" si="0"/>
        <v>G54</v>
      </c>
      <c r="D59" s="151" t="s">
        <v>216</v>
      </c>
      <c r="E59" s="109">
        <f>Auszahlungen!H58</f>
        <v>939000</v>
      </c>
      <c r="G59" s="143"/>
      <c r="H59" s="121"/>
      <c r="I59" s="182">
        <v>54</v>
      </c>
      <c r="J59" s="33" t="s">
        <v>55</v>
      </c>
      <c r="K59" s="180" t="str">
        <f t="shared" si="1"/>
        <v>G54</v>
      </c>
      <c r="L59" s="151" t="s">
        <v>216</v>
      </c>
      <c r="M59" s="109">
        <f>Auszahlungen!Q58</f>
        <v>939000</v>
      </c>
      <c r="P59" s="121"/>
      <c r="Q59" s="182">
        <v>54</v>
      </c>
      <c r="R59" s="33" t="s">
        <v>55</v>
      </c>
      <c r="S59" s="180" t="str">
        <f t="shared" si="2"/>
        <v>G54</v>
      </c>
      <c r="T59" s="151" t="s">
        <v>216</v>
      </c>
      <c r="U59" s="109">
        <f>Auszahlungen!Z58</f>
        <v>939000</v>
      </c>
      <c r="X59" s="121"/>
      <c r="Y59" s="182">
        <v>54</v>
      </c>
      <c r="Z59" s="33" t="s">
        <v>55</v>
      </c>
      <c r="AA59" s="180" t="str">
        <f t="shared" si="3"/>
        <v>G54</v>
      </c>
      <c r="AB59" s="151" t="s">
        <v>216</v>
      </c>
      <c r="AC59" s="109">
        <f>Auszahlungen!AI58</f>
        <v>938600</v>
      </c>
    </row>
    <row r="60" spans="1:29" x14ac:dyDescent="0.2">
      <c r="A60" s="182">
        <v>57</v>
      </c>
      <c r="B60" s="33" t="s">
        <v>56</v>
      </c>
      <c r="C60" s="180" t="str">
        <f t="shared" si="0"/>
        <v>G57</v>
      </c>
      <c r="D60" s="151" t="s">
        <v>218</v>
      </c>
      <c r="E60" s="109">
        <f>Auszahlungen!H59</f>
        <v>703100</v>
      </c>
      <c r="G60" s="143"/>
      <c r="H60" s="121"/>
      <c r="I60" s="182">
        <v>57</v>
      </c>
      <c r="J60" s="33" t="s">
        <v>56</v>
      </c>
      <c r="K60" s="180" t="str">
        <f t="shared" si="1"/>
        <v>G57</v>
      </c>
      <c r="L60" s="151" t="s">
        <v>218</v>
      </c>
      <c r="M60" s="109">
        <f>Auszahlungen!Q59</f>
        <v>703100</v>
      </c>
      <c r="P60" s="121"/>
      <c r="Q60" s="182">
        <v>57</v>
      </c>
      <c r="R60" s="33" t="s">
        <v>56</v>
      </c>
      <c r="S60" s="180" t="str">
        <f t="shared" si="2"/>
        <v>G57</v>
      </c>
      <c r="T60" s="151" t="s">
        <v>218</v>
      </c>
      <c r="U60" s="109">
        <f>Auszahlungen!Z59</f>
        <v>703100</v>
      </c>
      <c r="X60" s="121"/>
      <c r="Y60" s="182">
        <v>57</v>
      </c>
      <c r="Z60" s="33" t="s">
        <v>56</v>
      </c>
      <c r="AA60" s="180" t="str">
        <f t="shared" si="3"/>
        <v>G57</v>
      </c>
      <c r="AB60" s="151" t="s">
        <v>218</v>
      </c>
      <c r="AC60" s="109">
        <f>Auszahlungen!AI59</f>
        <v>702800</v>
      </c>
    </row>
    <row r="61" spans="1:29" x14ac:dyDescent="0.2">
      <c r="A61" s="182">
        <v>60</v>
      </c>
      <c r="B61" s="33" t="s">
        <v>57</v>
      </c>
      <c r="C61" s="180" t="str">
        <f t="shared" si="0"/>
        <v>G60</v>
      </c>
      <c r="D61" s="151" t="s">
        <v>217</v>
      </c>
      <c r="E61" s="109">
        <f>Auszahlungen!H60</f>
        <v>1338400</v>
      </c>
      <c r="G61" s="143"/>
      <c r="H61" s="121"/>
      <c r="I61" s="182">
        <v>60</v>
      </c>
      <c r="J61" s="33" t="s">
        <v>57</v>
      </c>
      <c r="K61" s="180" t="str">
        <f t="shared" si="1"/>
        <v>G60</v>
      </c>
      <c r="L61" s="151" t="s">
        <v>217</v>
      </c>
      <c r="M61" s="109">
        <f>Auszahlungen!Q60</f>
        <v>1338400</v>
      </c>
      <c r="P61" s="121"/>
      <c r="Q61" s="182">
        <v>60</v>
      </c>
      <c r="R61" s="33" t="s">
        <v>57</v>
      </c>
      <c r="S61" s="180" t="str">
        <f t="shared" si="2"/>
        <v>G60</v>
      </c>
      <c r="T61" s="151" t="s">
        <v>217</v>
      </c>
      <c r="U61" s="109">
        <f>Auszahlungen!Z60</f>
        <v>1338400</v>
      </c>
      <c r="X61" s="121"/>
      <c r="Y61" s="182">
        <v>60</v>
      </c>
      <c r="Z61" s="33" t="s">
        <v>57</v>
      </c>
      <c r="AA61" s="180" t="str">
        <f t="shared" si="3"/>
        <v>G60</v>
      </c>
      <c r="AB61" s="151" t="s">
        <v>217</v>
      </c>
      <c r="AC61" s="109">
        <f>Auszahlungen!AI60</f>
        <v>1338300</v>
      </c>
    </row>
    <row r="62" spans="1:29" x14ac:dyDescent="0.2">
      <c r="A62" s="182">
        <v>62</v>
      </c>
      <c r="B62" s="33" t="s">
        <v>58</v>
      </c>
      <c r="C62" s="180" t="str">
        <f t="shared" si="0"/>
        <v>G62</v>
      </c>
      <c r="D62" s="99" t="s">
        <v>216</v>
      </c>
      <c r="E62" s="109">
        <f>Auszahlungen!H61</f>
        <v>1408500</v>
      </c>
      <c r="G62" s="143"/>
      <c r="H62" s="121"/>
      <c r="I62" s="182">
        <v>62</v>
      </c>
      <c r="J62" s="33" t="s">
        <v>58</v>
      </c>
      <c r="K62" s="180" t="str">
        <f t="shared" si="1"/>
        <v>G62</v>
      </c>
      <c r="L62" s="99" t="s">
        <v>216</v>
      </c>
      <c r="M62" s="109">
        <f>Auszahlungen!Q61</f>
        <v>1408500</v>
      </c>
      <c r="P62" s="121"/>
      <c r="Q62" s="182">
        <v>62</v>
      </c>
      <c r="R62" s="33" t="s">
        <v>58</v>
      </c>
      <c r="S62" s="180" t="str">
        <f t="shared" si="2"/>
        <v>G62</v>
      </c>
      <c r="T62" s="99" t="s">
        <v>216</v>
      </c>
      <c r="U62" s="109">
        <f>Auszahlungen!Z61</f>
        <v>1408500</v>
      </c>
      <c r="X62" s="121"/>
      <c r="Y62" s="182">
        <v>62</v>
      </c>
      <c r="Z62" s="33" t="s">
        <v>58</v>
      </c>
      <c r="AA62" s="180" t="str">
        <f t="shared" si="3"/>
        <v>G62</v>
      </c>
      <c r="AB62" s="99" t="s">
        <v>216</v>
      </c>
      <c r="AC62" s="109">
        <f>Auszahlungen!AI61</f>
        <v>1408400</v>
      </c>
    </row>
    <row r="63" spans="1:29" x14ac:dyDescent="0.2">
      <c r="A63" s="182">
        <v>63</v>
      </c>
      <c r="B63" s="33" t="s">
        <v>59</v>
      </c>
      <c r="C63" s="180" t="str">
        <f t="shared" si="0"/>
        <v>G63</v>
      </c>
      <c r="D63" s="99" t="s">
        <v>216</v>
      </c>
      <c r="E63" s="109">
        <f>Auszahlungen!H62</f>
        <v>2364700</v>
      </c>
      <c r="G63" s="143"/>
      <c r="H63" s="121"/>
      <c r="I63" s="182">
        <v>63</v>
      </c>
      <c r="J63" s="33" t="s">
        <v>59</v>
      </c>
      <c r="K63" s="180" t="str">
        <f t="shared" si="1"/>
        <v>G63</v>
      </c>
      <c r="L63" s="99" t="s">
        <v>216</v>
      </c>
      <c r="M63" s="109">
        <f>Auszahlungen!Q62</f>
        <v>2364700</v>
      </c>
      <c r="P63" s="121"/>
      <c r="Q63" s="182">
        <v>63</v>
      </c>
      <c r="R63" s="33" t="s">
        <v>59</v>
      </c>
      <c r="S63" s="180" t="str">
        <f t="shared" si="2"/>
        <v>G63</v>
      </c>
      <c r="T63" s="99" t="s">
        <v>216</v>
      </c>
      <c r="U63" s="109">
        <f>Auszahlungen!Z62</f>
        <v>2364700</v>
      </c>
      <c r="X63" s="121"/>
      <c r="Y63" s="182">
        <v>63</v>
      </c>
      <c r="Z63" s="33" t="s">
        <v>59</v>
      </c>
      <c r="AA63" s="180" t="str">
        <f t="shared" si="3"/>
        <v>G63</v>
      </c>
      <c r="AB63" s="99" t="s">
        <v>216</v>
      </c>
      <c r="AC63" s="109">
        <f>Auszahlungen!AI62</f>
        <v>2364400</v>
      </c>
    </row>
    <row r="64" spans="1:29" x14ac:dyDescent="0.2">
      <c r="A64" s="182">
        <v>64</v>
      </c>
      <c r="B64" s="33" t="s">
        <v>60</v>
      </c>
      <c r="C64" s="180" t="str">
        <f t="shared" si="0"/>
        <v>G64</v>
      </c>
      <c r="D64" s="151" t="s">
        <v>216</v>
      </c>
      <c r="E64" s="109">
        <f>Auszahlungen!H63</f>
        <v>309800</v>
      </c>
      <c r="G64" s="143"/>
      <c r="H64" s="121"/>
      <c r="I64" s="182">
        <v>64</v>
      </c>
      <c r="J64" s="33" t="s">
        <v>60</v>
      </c>
      <c r="K64" s="180" t="str">
        <f t="shared" si="1"/>
        <v>G64</v>
      </c>
      <c r="L64" s="151" t="s">
        <v>216</v>
      </c>
      <c r="M64" s="109">
        <f>Auszahlungen!Q63</f>
        <v>309800</v>
      </c>
      <c r="P64" s="121"/>
      <c r="Q64" s="182">
        <v>64</v>
      </c>
      <c r="R64" s="33" t="s">
        <v>60</v>
      </c>
      <c r="S64" s="180" t="str">
        <f t="shared" si="2"/>
        <v>G64</v>
      </c>
      <c r="T64" s="151" t="s">
        <v>216</v>
      </c>
      <c r="U64" s="109">
        <f>Auszahlungen!Z63</f>
        <v>309800</v>
      </c>
      <c r="X64" s="121"/>
      <c r="Y64" s="182">
        <v>64</v>
      </c>
      <c r="Z64" s="33" t="s">
        <v>60</v>
      </c>
      <c r="AA64" s="180" t="str">
        <f t="shared" si="3"/>
        <v>G64</v>
      </c>
      <c r="AB64" s="151" t="s">
        <v>216</v>
      </c>
      <c r="AC64" s="109">
        <f>Auszahlungen!AI63</f>
        <v>309800</v>
      </c>
    </row>
    <row r="65" spans="1:29" x14ac:dyDescent="0.2">
      <c r="A65" s="182">
        <v>66</v>
      </c>
      <c r="B65" s="33" t="s">
        <v>384</v>
      </c>
      <c r="C65" s="180" t="str">
        <f t="shared" ref="C65" si="4">IF(E65=0,"","G"&amp;A65)</f>
        <v>G66</v>
      </c>
      <c r="D65" s="99" t="s">
        <v>218</v>
      </c>
      <c r="E65" s="109">
        <f>Auszahlungen!H64</f>
        <v>3368000</v>
      </c>
      <c r="G65" s="143"/>
      <c r="H65" s="121"/>
      <c r="I65" s="182">
        <v>66</v>
      </c>
      <c r="J65" s="33" t="s">
        <v>384</v>
      </c>
      <c r="K65" s="180" t="str">
        <f t="shared" ref="K65" si="5">IF(M65=0,"","G"&amp;I65)</f>
        <v>G66</v>
      </c>
      <c r="L65" s="151" t="s">
        <v>218</v>
      </c>
      <c r="M65" s="109">
        <f>Auszahlungen!Q64</f>
        <v>3368000</v>
      </c>
      <c r="P65" s="121"/>
      <c r="Q65" s="182">
        <v>66</v>
      </c>
      <c r="R65" s="33" t="s">
        <v>384</v>
      </c>
      <c r="S65" s="180" t="str">
        <f t="shared" ref="S65" si="6">IF(U65=0,"","G"&amp;Q65)</f>
        <v>G66</v>
      </c>
      <c r="T65" s="99" t="s">
        <v>218</v>
      </c>
      <c r="U65" s="109">
        <f>Auszahlungen!Z64</f>
        <v>3368000</v>
      </c>
      <c r="X65" s="121"/>
      <c r="Y65" s="182">
        <v>66</v>
      </c>
      <c r="Z65" s="33" t="s">
        <v>384</v>
      </c>
      <c r="AA65" s="180" t="str">
        <f t="shared" ref="AA65" si="7">IF(AC65=0,"","G"&amp;Y65)</f>
        <v>G66</v>
      </c>
      <c r="AB65" s="151" t="s">
        <v>218</v>
      </c>
      <c r="AC65" s="109">
        <f>Auszahlungen!AI64</f>
        <v>3367500</v>
      </c>
    </row>
    <row r="66" spans="1:29" x14ac:dyDescent="0.2">
      <c r="A66" s="182">
        <v>70</v>
      </c>
      <c r="B66" s="33" t="s">
        <v>61</v>
      </c>
      <c r="C66" s="180" t="str">
        <f t="shared" si="0"/>
        <v>G70</v>
      </c>
      <c r="D66" s="151" t="s">
        <v>218</v>
      </c>
      <c r="E66" s="109">
        <f>Auszahlungen!H65</f>
        <v>1164600</v>
      </c>
      <c r="G66" s="143"/>
      <c r="H66" s="121"/>
      <c r="I66" s="182">
        <v>70</v>
      </c>
      <c r="J66" s="33" t="s">
        <v>61</v>
      </c>
      <c r="K66" s="180" t="str">
        <f t="shared" si="1"/>
        <v>G70</v>
      </c>
      <c r="L66" s="151" t="s">
        <v>218</v>
      </c>
      <c r="M66" s="109">
        <f>Auszahlungen!Q65</f>
        <v>1164600</v>
      </c>
      <c r="P66" s="121"/>
      <c r="Q66" s="182">
        <v>70</v>
      </c>
      <c r="R66" s="33" t="s">
        <v>61</v>
      </c>
      <c r="S66" s="180" t="str">
        <f t="shared" si="2"/>
        <v>G70</v>
      </c>
      <c r="T66" s="151" t="s">
        <v>218</v>
      </c>
      <c r="U66" s="109">
        <f>Auszahlungen!Z65</f>
        <v>1164600</v>
      </c>
      <c r="X66" s="121"/>
      <c r="Y66" s="182">
        <v>70</v>
      </c>
      <c r="Z66" s="33" t="s">
        <v>61</v>
      </c>
      <c r="AA66" s="180" t="str">
        <f t="shared" si="3"/>
        <v>G70</v>
      </c>
      <c r="AB66" s="151" t="s">
        <v>218</v>
      </c>
      <c r="AC66" s="109">
        <f>Auszahlungen!AI65</f>
        <v>1164200</v>
      </c>
    </row>
    <row r="67" spans="1:29" x14ac:dyDescent="0.2">
      <c r="A67" s="182">
        <v>71</v>
      </c>
      <c r="B67" s="33" t="s">
        <v>62</v>
      </c>
      <c r="C67" s="180" t="str">
        <f t="shared" si="0"/>
        <v>G71</v>
      </c>
      <c r="D67" s="99" t="s">
        <v>218</v>
      </c>
      <c r="E67" s="109">
        <f>Auszahlungen!H66</f>
        <v>631900</v>
      </c>
      <c r="G67" s="143"/>
      <c r="H67" s="121"/>
      <c r="I67" s="182">
        <v>71</v>
      </c>
      <c r="J67" s="33" t="s">
        <v>62</v>
      </c>
      <c r="K67" s="180" t="str">
        <f t="shared" si="1"/>
        <v>G71</v>
      </c>
      <c r="L67" s="99" t="s">
        <v>218</v>
      </c>
      <c r="M67" s="109">
        <f>Auszahlungen!Q66</f>
        <v>631900</v>
      </c>
      <c r="P67" s="121"/>
      <c r="Q67" s="182">
        <v>71</v>
      </c>
      <c r="R67" s="33" t="s">
        <v>62</v>
      </c>
      <c r="S67" s="180" t="str">
        <f t="shared" si="2"/>
        <v>G71</v>
      </c>
      <c r="T67" s="99" t="s">
        <v>218</v>
      </c>
      <c r="U67" s="109">
        <f>Auszahlungen!Z66</f>
        <v>631900</v>
      </c>
      <c r="X67" s="121"/>
      <c r="Y67" s="182">
        <v>71</v>
      </c>
      <c r="Z67" s="33" t="s">
        <v>62</v>
      </c>
      <c r="AA67" s="180" t="str">
        <f t="shared" si="3"/>
        <v>G71</v>
      </c>
      <c r="AB67" s="99" t="s">
        <v>218</v>
      </c>
      <c r="AC67" s="109">
        <f>Auszahlungen!AI66</f>
        <v>631600</v>
      </c>
    </row>
    <row r="68" spans="1:29" x14ac:dyDescent="0.2">
      <c r="A68" s="182">
        <v>72</v>
      </c>
      <c r="B68" s="33" t="s">
        <v>63</v>
      </c>
      <c r="C68" s="180" t="str">
        <f t="shared" si="0"/>
        <v>G72</v>
      </c>
      <c r="D68" s="99" t="s">
        <v>216</v>
      </c>
      <c r="E68" s="109">
        <f>Auszahlungen!H67</f>
        <v>1616700</v>
      </c>
      <c r="G68" s="143"/>
      <c r="H68" s="121"/>
      <c r="I68" s="182">
        <v>72</v>
      </c>
      <c r="J68" s="33" t="s">
        <v>63</v>
      </c>
      <c r="K68" s="180" t="str">
        <f t="shared" si="1"/>
        <v>G72</v>
      </c>
      <c r="L68" s="99" t="s">
        <v>216</v>
      </c>
      <c r="M68" s="109">
        <f>Auszahlungen!Q67</f>
        <v>1616700</v>
      </c>
      <c r="P68" s="121"/>
      <c r="Q68" s="182">
        <v>72</v>
      </c>
      <c r="R68" s="33" t="s">
        <v>63</v>
      </c>
      <c r="S68" s="180" t="str">
        <f t="shared" si="2"/>
        <v>G72</v>
      </c>
      <c r="T68" s="99" t="s">
        <v>216</v>
      </c>
      <c r="U68" s="109">
        <f>Auszahlungen!Z67</f>
        <v>1616700</v>
      </c>
      <c r="X68" s="121"/>
      <c r="Y68" s="182">
        <v>72</v>
      </c>
      <c r="Z68" s="33" t="s">
        <v>63</v>
      </c>
      <c r="AA68" s="180" t="str">
        <f t="shared" si="3"/>
        <v>G72</v>
      </c>
      <c r="AB68" s="99" t="s">
        <v>216</v>
      </c>
      <c r="AC68" s="109">
        <f>Auszahlungen!AI67</f>
        <v>1616300</v>
      </c>
    </row>
    <row r="69" spans="1:29" x14ac:dyDescent="0.2">
      <c r="A69" s="182">
        <v>73</v>
      </c>
      <c r="B69" s="33" t="s">
        <v>64</v>
      </c>
      <c r="C69" s="180" t="str">
        <f t="shared" si="0"/>
        <v>G73</v>
      </c>
      <c r="D69" s="151" t="s">
        <v>218</v>
      </c>
      <c r="E69" s="109">
        <f>Auszahlungen!H68</f>
        <v>2406300</v>
      </c>
      <c r="G69" s="143"/>
      <c r="H69" s="121"/>
      <c r="I69" s="182">
        <v>73</v>
      </c>
      <c r="J69" s="33" t="s">
        <v>64</v>
      </c>
      <c r="K69" s="180" t="str">
        <f t="shared" si="1"/>
        <v>G73</v>
      </c>
      <c r="L69" s="151" t="s">
        <v>218</v>
      </c>
      <c r="M69" s="109">
        <f>Auszahlungen!Q68</f>
        <v>2406300</v>
      </c>
      <c r="P69" s="121"/>
      <c r="Q69" s="182">
        <v>73</v>
      </c>
      <c r="R69" s="33" t="s">
        <v>64</v>
      </c>
      <c r="S69" s="180" t="str">
        <f t="shared" si="2"/>
        <v>G73</v>
      </c>
      <c r="T69" s="151" t="s">
        <v>218</v>
      </c>
      <c r="U69" s="109">
        <f>Auszahlungen!Z68</f>
        <v>2406300</v>
      </c>
      <c r="X69" s="121"/>
      <c r="Y69" s="182">
        <v>73</v>
      </c>
      <c r="Z69" s="33" t="s">
        <v>64</v>
      </c>
      <c r="AA69" s="180" t="str">
        <f t="shared" si="3"/>
        <v>G73</v>
      </c>
      <c r="AB69" s="151" t="s">
        <v>218</v>
      </c>
      <c r="AC69" s="109">
        <f>Auszahlungen!AI68</f>
        <v>2406100</v>
      </c>
    </row>
    <row r="70" spans="1:29" x14ac:dyDescent="0.2">
      <c r="A70" s="182">
        <v>76</v>
      </c>
      <c r="B70" s="33" t="s">
        <v>65</v>
      </c>
      <c r="C70" s="180" t="str">
        <f t="shared" si="0"/>
        <v>G76</v>
      </c>
      <c r="D70" s="151" t="s">
        <v>216</v>
      </c>
      <c r="E70" s="109">
        <f>Auszahlungen!H69</f>
        <v>527200</v>
      </c>
      <c r="G70" s="143"/>
      <c r="H70" s="121"/>
      <c r="I70" s="182">
        <v>76</v>
      </c>
      <c r="J70" s="33" t="s">
        <v>65</v>
      </c>
      <c r="K70" s="180" t="str">
        <f t="shared" si="1"/>
        <v>G76</v>
      </c>
      <c r="L70" s="151" t="s">
        <v>216</v>
      </c>
      <c r="M70" s="109">
        <f>Auszahlungen!Q69</f>
        <v>527200</v>
      </c>
      <c r="P70" s="121"/>
      <c r="Q70" s="182">
        <v>76</v>
      </c>
      <c r="R70" s="33" t="s">
        <v>65</v>
      </c>
      <c r="S70" s="180" t="str">
        <f t="shared" si="2"/>
        <v>G76</v>
      </c>
      <c r="T70" s="151" t="s">
        <v>216</v>
      </c>
      <c r="U70" s="109">
        <f>Auszahlungen!Z69</f>
        <v>527200</v>
      </c>
      <c r="X70" s="121"/>
      <c r="Y70" s="182">
        <v>76</v>
      </c>
      <c r="Z70" s="33" t="s">
        <v>65</v>
      </c>
      <c r="AA70" s="180" t="str">
        <f t="shared" si="3"/>
        <v>G76</v>
      </c>
      <c r="AB70" s="151" t="s">
        <v>216</v>
      </c>
      <c r="AC70" s="109">
        <f>Auszahlungen!AI69</f>
        <v>527100</v>
      </c>
    </row>
    <row r="71" spans="1:29" x14ac:dyDescent="0.2">
      <c r="A71" s="182">
        <v>77</v>
      </c>
      <c r="B71" s="33" t="s">
        <v>66</v>
      </c>
      <c r="C71" s="180" t="str">
        <f t="shared" si="0"/>
        <v>G77</v>
      </c>
      <c r="D71" s="151" t="s">
        <v>218</v>
      </c>
      <c r="E71" s="109">
        <f>Auszahlungen!H70</f>
        <v>726800</v>
      </c>
      <c r="G71" s="143"/>
      <c r="H71" s="121"/>
      <c r="I71" s="182">
        <v>77</v>
      </c>
      <c r="J71" s="33" t="s">
        <v>66</v>
      </c>
      <c r="K71" s="180" t="str">
        <f t="shared" si="1"/>
        <v>G77</v>
      </c>
      <c r="L71" s="151" t="s">
        <v>218</v>
      </c>
      <c r="M71" s="109">
        <f>Auszahlungen!Q70</f>
        <v>726800</v>
      </c>
      <c r="P71" s="121"/>
      <c r="Q71" s="182">
        <v>77</v>
      </c>
      <c r="R71" s="33" t="s">
        <v>66</v>
      </c>
      <c r="S71" s="180" t="str">
        <f t="shared" si="2"/>
        <v>G77</v>
      </c>
      <c r="T71" s="151" t="s">
        <v>218</v>
      </c>
      <c r="U71" s="109">
        <f>Auszahlungen!Z70</f>
        <v>726800</v>
      </c>
      <c r="X71" s="121"/>
      <c r="Y71" s="182">
        <v>77</v>
      </c>
      <c r="Z71" s="33" t="s">
        <v>66</v>
      </c>
      <c r="AA71" s="180" t="str">
        <f t="shared" si="3"/>
        <v>G77</v>
      </c>
      <c r="AB71" s="151" t="s">
        <v>218</v>
      </c>
      <c r="AC71" s="109">
        <f>Auszahlungen!AI70</f>
        <v>726600</v>
      </c>
    </row>
    <row r="72" spans="1:29" x14ac:dyDescent="0.2">
      <c r="A72" s="182">
        <v>78</v>
      </c>
      <c r="B72" s="33" t="s">
        <v>67</v>
      </c>
      <c r="C72" s="180" t="str">
        <f t="shared" ref="C72:C83" si="8">IF(E72=0,"","G"&amp;A72)</f>
        <v>G78</v>
      </c>
      <c r="D72" s="99" t="s">
        <v>216</v>
      </c>
      <c r="E72" s="109">
        <f>Auszahlungen!H71</f>
        <v>1909500</v>
      </c>
      <c r="G72" s="143"/>
      <c r="H72" s="121"/>
      <c r="I72" s="182">
        <v>78</v>
      </c>
      <c r="J72" s="33" t="s">
        <v>67</v>
      </c>
      <c r="K72" s="180" t="str">
        <f t="shared" ref="K72:K83" si="9">IF(M72=0,"","G"&amp;I72)</f>
        <v>G78</v>
      </c>
      <c r="L72" s="99" t="s">
        <v>216</v>
      </c>
      <c r="M72" s="109">
        <f>Auszahlungen!Q71</f>
        <v>1909500</v>
      </c>
      <c r="P72" s="121"/>
      <c r="Q72" s="182">
        <v>78</v>
      </c>
      <c r="R72" s="33" t="s">
        <v>67</v>
      </c>
      <c r="S72" s="180" t="str">
        <f t="shared" ref="S72:S83" si="10">IF(U72=0,"","G"&amp;Q72)</f>
        <v>G78</v>
      </c>
      <c r="T72" s="99" t="s">
        <v>216</v>
      </c>
      <c r="U72" s="109">
        <f>Auszahlungen!Z71</f>
        <v>1909500</v>
      </c>
      <c r="X72" s="121"/>
      <c r="Y72" s="182">
        <v>78</v>
      </c>
      <c r="Z72" s="33" t="s">
        <v>67</v>
      </c>
      <c r="AA72" s="180" t="str">
        <f t="shared" ref="AA72:AA83" si="11">IF(AC72=0,"","G"&amp;Y72)</f>
        <v>G78</v>
      </c>
      <c r="AB72" s="99" t="s">
        <v>216</v>
      </c>
      <c r="AC72" s="109">
        <f>Auszahlungen!AI71</f>
        <v>1909500</v>
      </c>
    </row>
    <row r="73" spans="1:29" x14ac:dyDescent="0.2">
      <c r="A73" s="182">
        <v>79</v>
      </c>
      <c r="B73" s="33" t="s">
        <v>68</v>
      </c>
      <c r="C73" s="180" t="str">
        <f t="shared" si="8"/>
        <v>G79</v>
      </c>
      <c r="D73" s="151" t="s">
        <v>216</v>
      </c>
      <c r="E73" s="109">
        <f>Auszahlungen!H72</f>
        <v>1956100</v>
      </c>
      <c r="G73" s="143"/>
      <c r="H73" s="121"/>
      <c r="I73" s="182">
        <v>79</v>
      </c>
      <c r="J73" s="33" t="s">
        <v>68</v>
      </c>
      <c r="K73" s="180" t="str">
        <f t="shared" si="9"/>
        <v>G79</v>
      </c>
      <c r="L73" s="151" t="s">
        <v>216</v>
      </c>
      <c r="M73" s="109">
        <f>Auszahlungen!Q72</f>
        <v>1956100</v>
      </c>
      <c r="P73" s="121"/>
      <c r="Q73" s="182">
        <v>79</v>
      </c>
      <c r="R73" s="33" t="s">
        <v>68</v>
      </c>
      <c r="S73" s="180" t="str">
        <f t="shared" si="10"/>
        <v>G79</v>
      </c>
      <c r="T73" s="151" t="s">
        <v>216</v>
      </c>
      <c r="U73" s="109">
        <f>Auszahlungen!Z72</f>
        <v>1956100</v>
      </c>
      <c r="X73" s="121"/>
      <c r="Y73" s="182">
        <v>79</v>
      </c>
      <c r="Z73" s="33" t="s">
        <v>68</v>
      </c>
      <c r="AA73" s="180" t="str">
        <f t="shared" si="11"/>
        <v>G79</v>
      </c>
      <c r="AB73" s="151" t="s">
        <v>216</v>
      </c>
      <c r="AC73" s="109">
        <f>Auszahlungen!AI72</f>
        <v>1955800</v>
      </c>
    </row>
    <row r="74" spans="1:29" x14ac:dyDescent="0.2">
      <c r="A74" s="182">
        <v>80</v>
      </c>
      <c r="B74" s="33" t="s">
        <v>69</v>
      </c>
      <c r="C74" s="180" t="str">
        <f t="shared" si="8"/>
        <v>G80</v>
      </c>
      <c r="D74" s="151" t="s">
        <v>218</v>
      </c>
      <c r="E74" s="109">
        <f>Auszahlungen!H73</f>
        <v>1361000</v>
      </c>
      <c r="G74" s="143"/>
      <c r="H74" s="121"/>
      <c r="I74" s="182">
        <v>80</v>
      </c>
      <c r="J74" s="33" t="s">
        <v>69</v>
      </c>
      <c r="K74" s="180" t="str">
        <f t="shared" si="9"/>
        <v>G80</v>
      </c>
      <c r="L74" s="151" t="s">
        <v>218</v>
      </c>
      <c r="M74" s="109">
        <f>Auszahlungen!Q73</f>
        <v>1361000</v>
      </c>
      <c r="P74" s="121"/>
      <c r="Q74" s="182">
        <v>80</v>
      </c>
      <c r="R74" s="33" t="s">
        <v>69</v>
      </c>
      <c r="S74" s="180" t="str">
        <f t="shared" si="10"/>
        <v>G80</v>
      </c>
      <c r="T74" s="151" t="s">
        <v>218</v>
      </c>
      <c r="U74" s="109">
        <f>Auszahlungen!Z73</f>
        <v>1361000</v>
      </c>
      <c r="X74" s="121"/>
      <c r="Y74" s="182">
        <v>80</v>
      </c>
      <c r="Z74" s="33" t="s">
        <v>69</v>
      </c>
      <c r="AA74" s="180" t="str">
        <f t="shared" si="11"/>
        <v>G80</v>
      </c>
      <c r="AB74" s="151" t="s">
        <v>218</v>
      </c>
      <c r="AC74" s="109">
        <f>Auszahlungen!AI73</f>
        <v>1360700</v>
      </c>
    </row>
    <row r="75" spans="1:29" x14ac:dyDescent="0.2">
      <c r="A75" s="182">
        <v>81</v>
      </c>
      <c r="B75" s="33" t="s">
        <v>70</v>
      </c>
      <c r="C75" s="180" t="str">
        <f t="shared" si="8"/>
        <v>G81</v>
      </c>
      <c r="D75" s="151" t="s">
        <v>216</v>
      </c>
      <c r="E75" s="109">
        <f>Auszahlungen!H74</f>
        <v>681700</v>
      </c>
      <c r="G75" s="143"/>
      <c r="H75" s="121"/>
      <c r="I75" s="182">
        <v>81</v>
      </c>
      <c r="J75" s="33" t="s">
        <v>70</v>
      </c>
      <c r="K75" s="180" t="str">
        <f t="shared" si="9"/>
        <v>G81</v>
      </c>
      <c r="L75" s="151" t="s">
        <v>216</v>
      </c>
      <c r="M75" s="109">
        <f>Auszahlungen!Q74</f>
        <v>681700</v>
      </c>
      <c r="P75" s="121"/>
      <c r="Q75" s="182">
        <v>81</v>
      </c>
      <c r="R75" s="33" t="s">
        <v>70</v>
      </c>
      <c r="S75" s="180" t="str">
        <f t="shared" si="10"/>
        <v>G81</v>
      </c>
      <c r="T75" s="151" t="s">
        <v>216</v>
      </c>
      <c r="U75" s="109">
        <f>Auszahlungen!Z74</f>
        <v>681700</v>
      </c>
      <c r="X75" s="121"/>
      <c r="Y75" s="182">
        <v>81</v>
      </c>
      <c r="Z75" s="33" t="s">
        <v>70</v>
      </c>
      <c r="AA75" s="180" t="str">
        <f t="shared" si="11"/>
        <v>G81</v>
      </c>
      <c r="AB75" s="151" t="s">
        <v>216</v>
      </c>
      <c r="AC75" s="109">
        <f>Auszahlungen!AI74</f>
        <v>681600</v>
      </c>
    </row>
    <row r="76" spans="1:29" x14ac:dyDescent="0.2">
      <c r="A76" s="182">
        <v>83</v>
      </c>
      <c r="B76" s="33" t="s">
        <v>71</v>
      </c>
      <c r="C76" s="180" t="str">
        <f t="shared" si="8"/>
        <v/>
      </c>
      <c r="D76" s="99" t="s">
        <v>216</v>
      </c>
      <c r="E76" s="109">
        <f>Auszahlungen!H75</f>
        <v>0</v>
      </c>
      <c r="G76" s="143"/>
      <c r="H76" s="121"/>
      <c r="I76" s="182">
        <v>83</v>
      </c>
      <c r="J76" s="33" t="s">
        <v>71</v>
      </c>
      <c r="K76" s="180" t="str">
        <f t="shared" si="9"/>
        <v/>
      </c>
      <c r="L76" s="99" t="s">
        <v>216</v>
      </c>
      <c r="M76" s="109">
        <f>Auszahlungen!Q75</f>
        <v>0</v>
      </c>
      <c r="P76" s="121"/>
      <c r="Q76" s="182">
        <v>83</v>
      </c>
      <c r="R76" s="33" t="s">
        <v>71</v>
      </c>
      <c r="S76" s="180" t="str">
        <f t="shared" si="10"/>
        <v/>
      </c>
      <c r="T76" s="99" t="s">
        <v>216</v>
      </c>
      <c r="U76" s="109">
        <f>Auszahlungen!Z75</f>
        <v>0</v>
      </c>
      <c r="X76" s="121"/>
      <c r="Y76" s="182">
        <v>83</v>
      </c>
      <c r="Z76" s="33" t="s">
        <v>71</v>
      </c>
      <c r="AA76" s="180" t="str">
        <f t="shared" si="11"/>
        <v/>
      </c>
      <c r="AB76" s="99" t="s">
        <v>216</v>
      </c>
      <c r="AC76" s="109">
        <f>Auszahlungen!AI75</f>
        <v>0</v>
      </c>
    </row>
    <row r="77" spans="1:29" x14ac:dyDescent="0.2">
      <c r="A77" s="182">
        <v>84</v>
      </c>
      <c r="B77" s="33" t="s">
        <v>72</v>
      </c>
      <c r="C77" s="180" t="str">
        <f t="shared" si="8"/>
        <v>G84</v>
      </c>
      <c r="D77" s="151" t="s">
        <v>215</v>
      </c>
      <c r="E77" s="109">
        <f>Auszahlungen!H76</f>
        <v>314600</v>
      </c>
      <c r="G77" s="143"/>
      <c r="H77" s="121"/>
      <c r="I77" s="182">
        <v>84</v>
      </c>
      <c r="J77" s="33" t="s">
        <v>72</v>
      </c>
      <c r="K77" s="180" t="str">
        <f t="shared" si="9"/>
        <v>G84</v>
      </c>
      <c r="L77" s="151" t="s">
        <v>215</v>
      </c>
      <c r="M77" s="109">
        <f>Auszahlungen!Q76</f>
        <v>314600</v>
      </c>
      <c r="P77" s="121"/>
      <c r="Q77" s="182">
        <v>84</v>
      </c>
      <c r="R77" s="33" t="s">
        <v>72</v>
      </c>
      <c r="S77" s="180" t="str">
        <f t="shared" si="10"/>
        <v>G84</v>
      </c>
      <c r="T77" s="151" t="s">
        <v>215</v>
      </c>
      <c r="U77" s="109">
        <f>Auszahlungen!Z76</f>
        <v>314600</v>
      </c>
      <c r="X77" s="121"/>
      <c r="Y77" s="182">
        <v>84</v>
      </c>
      <c r="Z77" s="33" t="s">
        <v>72</v>
      </c>
      <c r="AA77" s="180" t="str">
        <f t="shared" si="11"/>
        <v>G84</v>
      </c>
      <c r="AB77" s="151" t="s">
        <v>215</v>
      </c>
      <c r="AC77" s="109">
        <f>Auszahlungen!AI76</f>
        <v>314300</v>
      </c>
    </row>
    <row r="78" spans="1:29" x14ac:dyDescent="0.2">
      <c r="A78" s="182">
        <v>85</v>
      </c>
      <c r="B78" s="33" t="s">
        <v>73</v>
      </c>
      <c r="C78" s="180" t="str">
        <f t="shared" si="8"/>
        <v>G85</v>
      </c>
      <c r="D78" s="99" t="s">
        <v>216</v>
      </c>
      <c r="E78" s="109">
        <f>Auszahlungen!H77</f>
        <v>434900</v>
      </c>
      <c r="G78" s="143"/>
      <c r="H78" s="121"/>
      <c r="I78" s="182">
        <v>85</v>
      </c>
      <c r="J78" s="33" t="s">
        <v>73</v>
      </c>
      <c r="K78" s="180" t="str">
        <f t="shared" si="9"/>
        <v>G85</v>
      </c>
      <c r="L78" s="99" t="s">
        <v>216</v>
      </c>
      <c r="M78" s="109">
        <f>Auszahlungen!Q77</f>
        <v>434900</v>
      </c>
      <c r="P78" s="121"/>
      <c r="Q78" s="182">
        <v>85</v>
      </c>
      <c r="R78" s="33" t="s">
        <v>73</v>
      </c>
      <c r="S78" s="180" t="str">
        <f t="shared" si="10"/>
        <v>G85</v>
      </c>
      <c r="T78" s="99" t="s">
        <v>216</v>
      </c>
      <c r="U78" s="109">
        <f>Auszahlungen!Z77</f>
        <v>434900</v>
      </c>
      <c r="X78" s="121"/>
      <c r="Y78" s="182">
        <v>85</v>
      </c>
      <c r="Z78" s="33" t="s">
        <v>73</v>
      </c>
      <c r="AA78" s="180" t="str">
        <f t="shared" si="11"/>
        <v>G85</v>
      </c>
      <c r="AB78" s="99" t="s">
        <v>216</v>
      </c>
      <c r="AC78" s="109">
        <f>Auszahlungen!AI77</f>
        <v>434700</v>
      </c>
    </row>
    <row r="79" spans="1:29" x14ac:dyDescent="0.2">
      <c r="A79" s="182">
        <v>86</v>
      </c>
      <c r="B79" s="33" t="s">
        <v>74</v>
      </c>
      <c r="C79" s="180" t="str">
        <f t="shared" si="8"/>
        <v>G86</v>
      </c>
      <c r="D79" s="151" t="s">
        <v>218</v>
      </c>
      <c r="E79" s="109">
        <f>Auszahlungen!H78</f>
        <v>789600</v>
      </c>
      <c r="G79" s="143"/>
      <c r="H79" s="121"/>
      <c r="I79" s="182">
        <v>86</v>
      </c>
      <c r="J79" s="33" t="s">
        <v>74</v>
      </c>
      <c r="K79" s="180" t="str">
        <f t="shared" si="9"/>
        <v>G86</v>
      </c>
      <c r="L79" s="151" t="s">
        <v>218</v>
      </c>
      <c r="M79" s="109">
        <f>Auszahlungen!Q78</f>
        <v>789600</v>
      </c>
      <c r="P79" s="121"/>
      <c r="Q79" s="182">
        <v>86</v>
      </c>
      <c r="R79" s="33" t="s">
        <v>74</v>
      </c>
      <c r="S79" s="180" t="str">
        <f t="shared" si="10"/>
        <v>G86</v>
      </c>
      <c r="T79" s="151" t="s">
        <v>218</v>
      </c>
      <c r="U79" s="109">
        <f>Auszahlungen!Z78</f>
        <v>789600</v>
      </c>
      <c r="X79" s="121"/>
      <c r="Y79" s="182">
        <v>86</v>
      </c>
      <c r="Z79" s="33" t="s">
        <v>74</v>
      </c>
      <c r="AA79" s="180" t="str">
        <f t="shared" si="11"/>
        <v>G86</v>
      </c>
      <c r="AB79" s="151" t="s">
        <v>218</v>
      </c>
      <c r="AC79" s="109">
        <f>Auszahlungen!AI78</f>
        <v>789500</v>
      </c>
    </row>
    <row r="80" spans="1:29" x14ac:dyDescent="0.2">
      <c r="A80" s="182">
        <v>87</v>
      </c>
      <c r="B80" s="33" t="s">
        <v>75</v>
      </c>
      <c r="C80" s="180" t="str">
        <f t="shared" si="8"/>
        <v/>
      </c>
      <c r="D80" s="151" t="s">
        <v>216</v>
      </c>
      <c r="E80" s="109">
        <f>Auszahlungen!H79</f>
        <v>0</v>
      </c>
      <c r="G80" s="143"/>
      <c r="H80" s="121"/>
      <c r="I80" s="182">
        <v>87</v>
      </c>
      <c r="J80" s="33" t="s">
        <v>75</v>
      </c>
      <c r="K80" s="180" t="str">
        <f t="shared" si="9"/>
        <v/>
      </c>
      <c r="L80" s="151" t="s">
        <v>216</v>
      </c>
      <c r="M80" s="109">
        <f>Auszahlungen!Q79</f>
        <v>0</v>
      </c>
      <c r="P80" s="121"/>
      <c r="Q80" s="182">
        <v>87</v>
      </c>
      <c r="R80" s="33" t="s">
        <v>75</v>
      </c>
      <c r="S80" s="180" t="str">
        <f t="shared" si="10"/>
        <v/>
      </c>
      <c r="T80" s="151" t="s">
        <v>216</v>
      </c>
      <c r="U80" s="109">
        <f>Auszahlungen!Z79</f>
        <v>0</v>
      </c>
      <c r="X80" s="121"/>
      <c r="Y80" s="182">
        <v>87</v>
      </c>
      <c r="Z80" s="33" t="s">
        <v>75</v>
      </c>
      <c r="AA80" s="180" t="str">
        <f t="shared" si="11"/>
        <v/>
      </c>
      <c r="AB80" s="151" t="s">
        <v>216</v>
      </c>
      <c r="AC80" s="109">
        <f>Auszahlungen!AI79</f>
        <v>0</v>
      </c>
    </row>
    <row r="81" spans="1:29" x14ac:dyDescent="0.2">
      <c r="A81" s="182">
        <v>88</v>
      </c>
      <c r="B81" s="33" t="s">
        <v>76</v>
      </c>
      <c r="C81" s="180" t="str">
        <f t="shared" si="8"/>
        <v>G88</v>
      </c>
      <c r="D81" s="151" t="s">
        <v>216</v>
      </c>
      <c r="E81" s="109">
        <f>Auszahlungen!H80</f>
        <v>186300</v>
      </c>
      <c r="G81" s="143"/>
      <c r="H81" s="121"/>
      <c r="I81" s="182">
        <v>88</v>
      </c>
      <c r="J81" s="33" t="s">
        <v>76</v>
      </c>
      <c r="K81" s="180" t="str">
        <f t="shared" si="9"/>
        <v>G88</v>
      </c>
      <c r="L81" s="151" t="s">
        <v>216</v>
      </c>
      <c r="M81" s="109">
        <f>Auszahlungen!Q80</f>
        <v>186300</v>
      </c>
      <c r="P81" s="121"/>
      <c r="Q81" s="182">
        <v>88</v>
      </c>
      <c r="R81" s="33" t="s">
        <v>76</v>
      </c>
      <c r="S81" s="180" t="str">
        <f t="shared" si="10"/>
        <v>G88</v>
      </c>
      <c r="T81" s="151" t="s">
        <v>216</v>
      </c>
      <c r="U81" s="109">
        <f>Auszahlungen!Z80</f>
        <v>186300</v>
      </c>
      <c r="X81" s="121"/>
      <c r="Y81" s="182">
        <v>88</v>
      </c>
      <c r="Z81" s="33" t="s">
        <v>76</v>
      </c>
      <c r="AA81" s="180" t="str">
        <f t="shared" si="11"/>
        <v>G88</v>
      </c>
      <c r="AB81" s="151" t="s">
        <v>216</v>
      </c>
      <c r="AC81" s="109">
        <f>Auszahlungen!AI80</f>
        <v>186200</v>
      </c>
    </row>
    <row r="82" spans="1:29" x14ac:dyDescent="0.2">
      <c r="A82" s="182">
        <v>89</v>
      </c>
      <c r="B82" s="33" t="s">
        <v>77</v>
      </c>
      <c r="C82" s="180" t="str">
        <f t="shared" si="8"/>
        <v>G89</v>
      </c>
      <c r="D82" s="99" t="s">
        <v>216</v>
      </c>
      <c r="E82" s="109">
        <f>Auszahlungen!H81</f>
        <v>1260500</v>
      </c>
      <c r="G82" s="143"/>
      <c r="H82" s="121"/>
      <c r="I82" s="182">
        <v>89</v>
      </c>
      <c r="J82" s="33" t="s">
        <v>77</v>
      </c>
      <c r="K82" s="180" t="str">
        <f t="shared" si="9"/>
        <v>G89</v>
      </c>
      <c r="L82" s="99" t="s">
        <v>216</v>
      </c>
      <c r="M82" s="109">
        <f>Auszahlungen!Q81</f>
        <v>1260500</v>
      </c>
      <c r="P82" s="121"/>
      <c r="Q82" s="182">
        <v>89</v>
      </c>
      <c r="R82" s="33" t="s">
        <v>77</v>
      </c>
      <c r="S82" s="180" t="str">
        <f t="shared" si="10"/>
        <v>G89</v>
      </c>
      <c r="T82" s="99" t="s">
        <v>216</v>
      </c>
      <c r="U82" s="109">
        <f>Auszahlungen!Z81</f>
        <v>1260500</v>
      </c>
      <c r="X82" s="121"/>
      <c r="Y82" s="182">
        <v>89</v>
      </c>
      <c r="Z82" s="33" t="s">
        <v>77</v>
      </c>
      <c r="AA82" s="180" t="str">
        <f t="shared" si="11"/>
        <v>G89</v>
      </c>
      <c r="AB82" s="99" t="s">
        <v>216</v>
      </c>
      <c r="AC82" s="109">
        <f>Auszahlungen!AI81</f>
        <v>1260400</v>
      </c>
    </row>
    <row r="83" spans="1:29" x14ac:dyDescent="0.2">
      <c r="A83" s="182">
        <v>90</v>
      </c>
      <c r="B83" s="33" t="s">
        <v>78</v>
      </c>
      <c r="C83" s="180" t="str">
        <f t="shared" si="8"/>
        <v>G90</v>
      </c>
      <c r="D83" s="99" t="s">
        <v>216</v>
      </c>
      <c r="E83" s="109">
        <f>Auszahlungen!H82</f>
        <v>36600</v>
      </c>
      <c r="G83" s="143"/>
      <c r="H83" s="121"/>
      <c r="I83" s="182">
        <v>90</v>
      </c>
      <c r="J83" s="33" t="s">
        <v>78</v>
      </c>
      <c r="K83" s="180" t="str">
        <f t="shared" si="9"/>
        <v>G90</v>
      </c>
      <c r="L83" s="99" t="s">
        <v>216</v>
      </c>
      <c r="M83" s="109">
        <f>Auszahlungen!Q82</f>
        <v>36600</v>
      </c>
      <c r="P83" s="121"/>
      <c r="Q83" s="182">
        <v>90</v>
      </c>
      <c r="R83" s="33" t="s">
        <v>78</v>
      </c>
      <c r="S83" s="180" t="str">
        <f t="shared" si="10"/>
        <v>G90</v>
      </c>
      <c r="T83" s="99" t="s">
        <v>216</v>
      </c>
      <c r="U83" s="109">
        <f>Auszahlungen!Z82</f>
        <v>36600</v>
      </c>
      <c r="X83" s="121"/>
      <c r="Y83" s="182">
        <v>90</v>
      </c>
      <c r="Z83" s="33" t="s">
        <v>78</v>
      </c>
      <c r="AA83" s="180" t="str">
        <f t="shared" si="11"/>
        <v>G90</v>
      </c>
      <c r="AB83" s="99" t="s">
        <v>216</v>
      </c>
      <c r="AC83" s="109">
        <f>Auszahlungen!AI82</f>
        <v>36700</v>
      </c>
    </row>
    <row r="84" spans="1:29" x14ac:dyDescent="0.2">
      <c r="A84" s="103"/>
      <c r="B84" s="126" t="s">
        <v>79</v>
      </c>
      <c r="C84" s="104"/>
      <c r="D84" s="112"/>
      <c r="E84" s="181">
        <f>SUM(E9:E83)</f>
        <v>56679100</v>
      </c>
      <c r="G84" s="143"/>
      <c r="H84" s="121"/>
      <c r="I84" s="103"/>
      <c r="J84" s="126" t="s">
        <v>79</v>
      </c>
      <c r="K84" s="104"/>
      <c r="L84" s="112"/>
      <c r="M84" s="181">
        <f>SUM(M9:M83)</f>
        <v>56679100</v>
      </c>
      <c r="P84" s="121"/>
      <c r="Q84" s="103"/>
      <c r="R84" s="126" t="s">
        <v>79</v>
      </c>
      <c r="S84" s="104"/>
      <c r="T84" s="112"/>
      <c r="U84" s="181">
        <f>SUM(U9:U83)</f>
        <v>56679100</v>
      </c>
      <c r="X84" s="121"/>
      <c r="Y84" s="103"/>
      <c r="Z84" s="126" t="s">
        <v>79</v>
      </c>
      <c r="AA84" s="104"/>
      <c r="AB84" s="112"/>
      <c r="AC84" s="181">
        <f>SUM(AC9:AC83)</f>
        <v>56668000</v>
      </c>
    </row>
  </sheetData>
  <pageMargins left="0.51181102362204722" right="0.11811023622047245" top="0.39370078740157483" bottom="0.39370078740157483" header="0.31496062992125984" footer="0.31496062992125984"/>
  <pageSetup paperSize="9" orientation="portrait" r:id="rId1"/>
  <headerFooter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3</vt:i4>
      </vt:variant>
    </vt:vector>
  </HeadingPairs>
  <TitlesOfParts>
    <vt:vector size="20" baseType="lpstr">
      <vt:lpstr>Anleitung</vt:lpstr>
      <vt:lpstr>Ressourcenausgleich Basis</vt:lpstr>
      <vt:lpstr>SL Weite Basis</vt:lpstr>
      <vt:lpstr>SL Schule Basis</vt:lpstr>
      <vt:lpstr>SL Sozio Basis</vt:lpstr>
      <vt:lpstr>SL Stadt SG Basis</vt:lpstr>
      <vt:lpstr>Total</vt:lpstr>
      <vt:lpstr>Auszahlungen</vt:lpstr>
      <vt:lpstr>Kreditorenbelege</vt:lpstr>
      <vt:lpstr>Kontierungsbelege</vt:lpstr>
      <vt:lpstr>Serienbrief Verfügung</vt:lpstr>
      <vt:lpstr>Finanzausgleichsbeiträge</vt:lpstr>
      <vt:lpstr>Details Ressourcenausgleich</vt:lpstr>
      <vt:lpstr>Details SL Weite</vt:lpstr>
      <vt:lpstr>Details SL Schule</vt:lpstr>
      <vt:lpstr>Details SL Sozio</vt:lpstr>
      <vt:lpstr>Details SL Stadt SG</vt:lpstr>
      <vt:lpstr>Auszahlungen!Druckbereich</vt:lpstr>
      <vt:lpstr>Kontierungsbelege!Druckbereich</vt:lpstr>
      <vt:lpstr>Kreditorenbelege!Druckbereich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Gemperle, Mario</dc:creator>
  <cp:lastModifiedBy>Gemperle, Mario</cp:lastModifiedBy>
  <cp:lastPrinted>2023-11-24T10:31:50Z</cp:lastPrinted>
  <dcterms:created xsi:type="dcterms:W3CDTF">2020-07-23T07:04:43Z</dcterms:created>
  <dcterms:modified xsi:type="dcterms:W3CDTF">2024-02-28T15:18:08Z</dcterms:modified>
</cp:coreProperties>
</file>