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root\3\1\4\1492\Vollzug\"/>
    </mc:Choice>
  </mc:AlternateContent>
  <workbookProtection workbookAlgorithmName="SHA-512" workbookHashValue="QsGDak6BaeZX1MACFwdRrXfKdzEinSxsa8ZlCHbm4GwUkP9IE5bOs8vH1Tb4WZQwQkj1cPA2TiiSIyDsVh6ftw==" workbookSaltValue="Lt8Q7FozlsFaD0EUg7BzoQ==" workbookSpinCount="100000" lockStructure="1"/>
  <bookViews>
    <workbookView xWindow="0" yWindow="0" windowWidth="28770" windowHeight="11250" firstSheet="10" activeTab="10"/>
  </bookViews>
  <sheets>
    <sheet name="Anleitung" sheetId="25" state="hidden" r:id="rId1"/>
    <sheet name="Ressourcenausgleich Basis" sheetId="1" state="hidden" r:id="rId2"/>
    <sheet name="SL Weite Basis" sheetId="10" state="hidden" r:id="rId3"/>
    <sheet name="SL Schule Basis" sheetId="9" state="hidden" r:id="rId4"/>
    <sheet name="SL Sozio Basis" sheetId="11" state="hidden" r:id="rId5"/>
    <sheet name="SL Stadt SG Basis" sheetId="8" state="hidden" r:id="rId6"/>
    <sheet name="Total" sheetId="19" state="hidden" r:id="rId7"/>
    <sheet name="Auszahlungen" sheetId="23" state="hidden" r:id="rId8"/>
    <sheet name="Kreditorenbelege" sheetId="20" state="hidden" r:id="rId9"/>
    <sheet name="Kontierungsbelege" sheetId="24" state="hidden" r:id="rId10"/>
    <sheet name="Finanzausgleichsbeiträge" sheetId="14" r:id="rId11"/>
    <sheet name="Details Ressourcenausgleich" sheetId="13" r:id="rId12"/>
    <sheet name="Details SL Weite" sheetId="15" r:id="rId13"/>
    <sheet name="Details SL Schule" sheetId="17" r:id="rId14"/>
    <sheet name="Details SL Sozio" sheetId="16" r:id="rId15"/>
    <sheet name="Details SL Stadt SG" sheetId="18" r:id="rId16"/>
  </sheets>
  <definedNames>
    <definedName name="_xlnm.Print_Area" localSheetId="7">Auszahlungen!$A$1:$H$86,Auszahlungen!$J$1:$Q$86,Auszahlungen!$S$1:$Z$86,Auszahlungen!$AB$1:$AI$86</definedName>
    <definedName name="_xlnm.Print_Area" localSheetId="9">Kontierungsbelege!$A$1:$E$30,Kontierungsbelege!$G$1:$K$30,Kontierungsbelege!$M$1:$Q$30,Kontierungsbelege!$S$1:$W$30</definedName>
    <definedName name="_xlnm.Print_Area" localSheetId="8">Kreditorenbelege!$A$1:$G$87,Kreditorenbelege!$I$1:$O$87,Kreditorenbelege!$Q$1:$W$87,Kreditorenbelege!$Y$1:$AE$87</definedName>
    <definedName name="_xlnm.Print_Area" localSheetId="6">Total!$A$5:$H$85,Total!#REF!,Total!#REF!,Total!#REF!,Total!#REF!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4" l="1"/>
  <c r="E28" i="14"/>
  <c r="E27" i="14"/>
  <c r="E26" i="14"/>
  <c r="E25" i="14"/>
  <c r="E24" i="14"/>
  <c r="E13" i="14"/>
  <c r="I24" i="14" s="1"/>
  <c r="M18" i="14"/>
  <c r="M17" i="14"/>
  <c r="M16" i="14"/>
  <c r="M15" i="14"/>
  <c r="M14" i="14"/>
  <c r="M13" i="14"/>
  <c r="K13" i="14"/>
  <c r="AD8" i="23"/>
  <c r="K18" i="14"/>
  <c r="K17" i="14"/>
  <c r="K16" i="14"/>
  <c r="K15" i="14"/>
  <c r="K14" i="14"/>
  <c r="I18" i="14"/>
  <c r="I17" i="14"/>
  <c r="I16" i="14"/>
  <c r="I15" i="14"/>
  <c r="I14" i="14"/>
  <c r="I13" i="14"/>
  <c r="G13" i="14"/>
  <c r="G18" i="14"/>
  <c r="G17" i="14"/>
  <c r="G16" i="14"/>
  <c r="G15" i="14"/>
  <c r="G14" i="14"/>
  <c r="G24" i="14" l="1"/>
  <c r="E18" i="14" l="1"/>
  <c r="I29" i="14" s="1"/>
  <c r="G29" i="14" s="1"/>
  <c r="E17" i="14"/>
  <c r="I28" i="14" s="1"/>
  <c r="G28" i="14" s="1"/>
  <c r="E16" i="14"/>
  <c r="I27" i="14" s="1"/>
  <c r="G27" i="14" s="1"/>
  <c r="E15" i="14"/>
  <c r="I26" i="14" s="1"/>
  <c r="G26" i="14" s="1"/>
  <c r="E14" i="14"/>
  <c r="I25" i="14" s="1"/>
  <c r="G25" i="14" s="1"/>
  <c r="C9" i="19" l="1"/>
  <c r="G8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" i="19"/>
  <c r="AH68" i="23" l="1"/>
  <c r="AH60" i="23"/>
  <c r="AH52" i="23"/>
  <c r="AH84" i="23"/>
  <c r="AH76" i="23"/>
  <c r="AH48" i="23"/>
  <c r="AH74" i="23"/>
  <c r="G85" i="19"/>
  <c r="G85" i="23"/>
  <c r="E27" i="24" s="1"/>
  <c r="AH82" i="23"/>
  <c r="AH78" i="23"/>
  <c r="AH70" i="23"/>
  <c r="AH66" i="23"/>
  <c r="AH62" i="23"/>
  <c r="AH58" i="23"/>
  <c r="AH54" i="23"/>
  <c r="AH50" i="23"/>
  <c r="AH46" i="23"/>
  <c r="AH44" i="23"/>
  <c r="AH40" i="23"/>
  <c r="AH38" i="23"/>
  <c r="AH36" i="23"/>
  <c r="AH34" i="23"/>
  <c r="AH32" i="23"/>
  <c r="AH30" i="23"/>
  <c r="AH28" i="23"/>
  <c r="AH24" i="23"/>
  <c r="AH22" i="23"/>
  <c r="AH20" i="23"/>
  <c r="AH18" i="23"/>
  <c r="AH16" i="23"/>
  <c r="AH14" i="23"/>
  <c r="AH12" i="23"/>
  <c r="AH83" i="23"/>
  <c r="AH81" i="23"/>
  <c r="AH79" i="23"/>
  <c r="AH77" i="23"/>
  <c r="AH75" i="23"/>
  <c r="AH73" i="23"/>
  <c r="AH71" i="23"/>
  <c r="AH69" i="23"/>
  <c r="AH67" i="23"/>
  <c r="AH65" i="23"/>
  <c r="AH63" i="23"/>
  <c r="AH61" i="23"/>
  <c r="AH59" i="23"/>
  <c r="AH57" i="23"/>
  <c r="AH55" i="23"/>
  <c r="AH53" i="23"/>
  <c r="AH51" i="23"/>
  <c r="AH49" i="23"/>
  <c r="AH47" i="23"/>
  <c r="AH45" i="23"/>
  <c r="AH43" i="23"/>
  <c r="AH41" i="23"/>
  <c r="AH39" i="23"/>
  <c r="AH37" i="23"/>
  <c r="AH35" i="23"/>
  <c r="AH33" i="23"/>
  <c r="AH29" i="23"/>
  <c r="AH27" i="23"/>
  <c r="AH25" i="23"/>
  <c r="AH23" i="23"/>
  <c r="AH19" i="23"/>
  <c r="AH17" i="23"/>
  <c r="AH15" i="23"/>
  <c r="AH13" i="23"/>
  <c r="AH11" i="23"/>
  <c r="AH9" i="23"/>
  <c r="AH80" i="23"/>
  <c r="AH72" i="23"/>
  <c r="AH64" i="23"/>
  <c r="AH56" i="23"/>
  <c r="AH42" i="23"/>
  <c r="AH26" i="23"/>
  <c r="AH10" i="23"/>
  <c r="AH31" i="23"/>
  <c r="AH21" i="23"/>
  <c r="P85" i="23"/>
  <c r="K27" i="24" s="1"/>
  <c r="C85" i="19"/>
  <c r="C18" i="8"/>
  <c r="AD28" i="23" l="1"/>
  <c r="AD51" i="23"/>
  <c r="AD63" i="23"/>
  <c r="AD33" i="23"/>
  <c r="AH8" i="23"/>
  <c r="AH85" i="23" s="1"/>
  <c r="W27" i="24" s="1"/>
  <c r="AD25" i="23"/>
  <c r="AD61" i="23"/>
  <c r="Y85" i="23"/>
  <c r="Q27" i="24" s="1"/>
  <c r="AD13" i="23"/>
  <c r="AD22" i="23"/>
  <c r="AD17" i="23"/>
  <c r="AD71" i="23"/>
  <c r="AD44" i="23"/>
  <c r="AD59" i="23"/>
  <c r="AD67" i="23"/>
  <c r="AD21" i="23"/>
  <c r="AD36" i="23"/>
  <c r="AD15" i="23"/>
  <c r="AD79" i="23"/>
  <c r="AD37" i="23"/>
  <c r="AD49" i="23"/>
  <c r="AD45" i="23"/>
  <c r="AD66" i="23"/>
  <c r="AD19" i="23"/>
  <c r="AD27" i="23"/>
  <c r="AD76" i="23"/>
  <c r="AD23" i="23"/>
  <c r="AD73" i="23"/>
  <c r="AD84" i="23"/>
  <c r="AD60" i="23"/>
  <c r="AD31" i="23"/>
  <c r="AD50" i="23"/>
  <c r="AD64" i="23"/>
  <c r="AD81" i="23"/>
  <c r="AD56" i="23"/>
  <c r="AD43" i="23"/>
  <c r="AD34" i="23"/>
  <c r="AD12" i="23"/>
  <c r="AD42" i="23"/>
  <c r="AD53" i="23"/>
  <c r="AD24" i="23"/>
  <c r="AD47" i="23"/>
  <c r="AD75" i="23"/>
  <c r="AD29" i="23"/>
  <c r="AD11" i="23"/>
  <c r="AD30" i="23"/>
  <c r="AD58" i="23"/>
  <c r="AD20" i="23"/>
  <c r="AD9" i="23"/>
  <c r="AD52" i="23"/>
  <c r="AD41" i="23"/>
  <c r="AD18" i="23"/>
  <c r="AD82" i="23"/>
  <c r="AD26" i="23"/>
  <c r="AD65" i="23"/>
  <c r="AD72" i="23"/>
  <c r="AD80" i="23"/>
  <c r="AD68" i="23"/>
  <c r="AD69" i="23"/>
  <c r="AD46" i="23"/>
  <c r="AD57" i="23"/>
  <c r="AD35" i="23"/>
  <c r="AD77" i="23"/>
  <c r="AD10" i="23"/>
  <c r="AD83" i="23"/>
  <c r="AD39" i="23"/>
  <c r="AD74" i="23"/>
  <c r="AD54" i="23"/>
  <c r="AD16" i="23"/>
  <c r="AD62" i="23"/>
  <c r="AD32" i="23"/>
  <c r="AD55" i="23"/>
  <c r="AD70" i="23"/>
  <c r="AD40" i="23"/>
  <c r="AD14" i="23"/>
  <c r="AD78" i="23"/>
  <c r="AD48" i="23"/>
  <c r="AD38" i="23"/>
  <c r="L85" i="23"/>
  <c r="K15" i="24" s="1"/>
  <c r="U85" i="23"/>
  <c r="Q15" i="24" s="1"/>
  <c r="C85" i="23"/>
  <c r="E15" i="24" s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E151" i="1"/>
  <c r="D151" i="1"/>
  <c r="AD85" i="23" l="1"/>
  <c r="W15" i="24" s="1"/>
  <c r="C21" i="1"/>
  <c r="D43" i="1"/>
  <c r="D21" i="1"/>
  <c r="D19" i="1"/>
  <c r="D9" i="13"/>
  <c r="D16" i="13" s="1"/>
  <c r="D94" i="1"/>
  <c r="C86" i="1"/>
  <c r="C36" i="13"/>
  <c r="C9" i="18"/>
  <c r="C17" i="18" s="1"/>
  <c r="C124" i="1"/>
  <c r="C12" i="9"/>
  <c r="C32" i="9" s="1"/>
  <c r="C14" i="9"/>
  <c r="C32" i="17"/>
  <c r="C17" i="9"/>
  <c r="C21" i="9" s="1"/>
  <c r="C18" i="9"/>
  <c r="C19" i="9"/>
  <c r="C20" i="9"/>
  <c r="D9" i="17"/>
  <c r="D15" i="17" s="1"/>
  <c r="AS21" i="9"/>
  <c r="AS12" i="9"/>
  <c r="AS42" i="9" s="1"/>
  <c r="AS34" i="9"/>
  <c r="D12" i="9"/>
  <c r="D34" i="9"/>
  <c r="E12" i="9"/>
  <c r="E42" i="9" s="1"/>
  <c r="E34" i="9"/>
  <c r="F12" i="9"/>
  <c r="F34" i="9"/>
  <c r="G12" i="9"/>
  <c r="G34" i="9"/>
  <c r="H12" i="9"/>
  <c r="H32" i="9" s="1"/>
  <c r="H34" i="9"/>
  <c r="I12" i="9"/>
  <c r="I42" i="9" s="1"/>
  <c r="I32" i="9"/>
  <c r="I34" i="9"/>
  <c r="J12" i="9"/>
  <c r="J42" i="9" s="1"/>
  <c r="J34" i="9"/>
  <c r="K12" i="9"/>
  <c r="K32" i="9" s="1"/>
  <c r="K34" i="9"/>
  <c r="L12" i="9"/>
  <c r="L32" i="9" s="1"/>
  <c r="L34" i="9"/>
  <c r="M12" i="9"/>
  <c r="M32" i="9" s="1"/>
  <c r="M34" i="9"/>
  <c r="N12" i="9"/>
  <c r="N34" i="9"/>
  <c r="O12" i="9"/>
  <c r="O34" i="9"/>
  <c r="P12" i="9"/>
  <c r="P32" i="9" s="1"/>
  <c r="P34" i="9"/>
  <c r="Q12" i="9"/>
  <c r="Q32" i="9" s="1"/>
  <c r="Q34" i="9"/>
  <c r="R12" i="9"/>
  <c r="R34" i="9"/>
  <c r="S12" i="9"/>
  <c r="S32" i="9" s="1"/>
  <c r="S34" i="9"/>
  <c r="T12" i="9"/>
  <c r="T42" i="9" s="1"/>
  <c r="T34" i="9"/>
  <c r="U12" i="9"/>
  <c r="U42" i="9" s="1"/>
  <c r="U34" i="9"/>
  <c r="V12" i="9"/>
  <c r="V34" i="9"/>
  <c r="W12" i="9"/>
  <c r="W34" i="9"/>
  <c r="X12" i="9"/>
  <c r="X32" i="9" s="1"/>
  <c r="X34" i="9"/>
  <c r="Y12" i="9"/>
  <c r="Y32" i="9" s="1"/>
  <c r="Y34" i="9"/>
  <c r="Z12" i="9"/>
  <c r="Z42" i="9" s="1"/>
  <c r="Z34" i="9"/>
  <c r="AA12" i="9"/>
  <c r="AA32" i="9" s="1"/>
  <c r="AA34" i="9"/>
  <c r="AB12" i="9"/>
  <c r="AB32" i="9" s="1"/>
  <c r="AB34" i="9"/>
  <c r="AC12" i="9"/>
  <c r="AC32" i="9" s="1"/>
  <c r="AC34" i="9"/>
  <c r="AD12" i="9"/>
  <c r="AD34" i="9"/>
  <c r="AE12" i="9"/>
  <c r="AE34" i="9"/>
  <c r="AF12" i="9"/>
  <c r="AF32" i="9" s="1"/>
  <c r="AF34" i="9"/>
  <c r="AG12" i="9"/>
  <c r="AG32" i="9" s="1"/>
  <c r="AG34" i="9"/>
  <c r="AH12" i="9"/>
  <c r="AH34" i="9"/>
  <c r="AI12" i="9"/>
  <c r="AI32" i="9" s="1"/>
  <c r="AI34" i="9"/>
  <c r="AJ12" i="9"/>
  <c r="AJ32" i="9" s="1"/>
  <c r="AJ34" i="9"/>
  <c r="AK12" i="9"/>
  <c r="AK32" i="9" s="1"/>
  <c r="AK34" i="9"/>
  <c r="AL12" i="9"/>
  <c r="AL34" i="9"/>
  <c r="AM12" i="9"/>
  <c r="AM34" i="9"/>
  <c r="AN12" i="9"/>
  <c r="AN32" i="9" s="1"/>
  <c r="AN34" i="9"/>
  <c r="AO12" i="9"/>
  <c r="AO42" i="9" s="1"/>
  <c r="AO34" i="9"/>
  <c r="AP12" i="9"/>
  <c r="AP42" i="9" s="1"/>
  <c r="AP34" i="9"/>
  <c r="AQ12" i="9"/>
  <c r="AQ32" i="9" s="1"/>
  <c r="AQ34" i="9"/>
  <c r="AR12" i="9"/>
  <c r="AR32" i="9" s="1"/>
  <c r="AR34" i="9"/>
  <c r="AT12" i="9"/>
  <c r="AT32" i="9" s="1"/>
  <c r="AT34" i="9"/>
  <c r="AU12" i="9"/>
  <c r="AU32" i="9" s="1"/>
  <c r="AU34" i="9"/>
  <c r="AV12" i="9"/>
  <c r="AV42" i="9" s="1"/>
  <c r="AV34" i="9"/>
  <c r="AW12" i="9"/>
  <c r="AW34" i="9"/>
  <c r="AX12" i="9"/>
  <c r="AX32" i="9" s="1"/>
  <c r="AX34" i="9"/>
  <c r="AY12" i="9"/>
  <c r="AY32" i="9" s="1"/>
  <c r="AY34" i="9"/>
  <c r="AZ12" i="9"/>
  <c r="AZ32" i="9" s="1"/>
  <c r="AZ34" i="9"/>
  <c r="BA12" i="9"/>
  <c r="BA34" i="9"/>
  <c r="BB12" i="9"/>
  <c r="BB32" i="9" s="1"/>
  <c r="BB34" i="9"/>
  <c r="BC12" i="9"/>
  <c r="BC32" i="9" s="1"/>
  <c r="BC34" i="9"/>
  <c r="BD12" i="9"/>
  <c r="BD42" i="9" s="1"/>
  <c r="BD34" i="9"/>
  <c r="BE12" i="9"/>
  <c r="BE42" i="9" s="1"/>
  <c r="BE34" i="9"/>
  <c r="BF12" i="9"/>
  <c r="BF32" i="9" s="1"/>
  <c r="BF34" i="9"/>
  <c r="BG12" i="9"/>
  <c r="BG32" i="9" s="1"/>
  <c r="BG34" i="9"/>
  <c r="BH12" i="9"/>
  <c r="BH42" i="9" s="1"/>
  <c r="BH34" i="9"/>
  <c r="BI12" i="9"/>
  <c r="BI34" i="9"/>
  <c r="BJ12" i="9"/>
  <c r="BJ32" i="9" s="1"/>
  <c r="BJ34" i="9"/>
  <c r="BK12" i="9"/>
  <c r="BK32" i="9" s="1"/>
  <c r="BK34" i="9"/>
  <c r="BL12" i="9"/>
  <c r="BL42" i="9" s="1"/>
  <c r="BL34" i="9"/>
  <c r="BM12" i="9"/>
  <c r="BM34" i="9"/>
  <c r="BN12" i="9"/>
  <c r="BN32" i="9" s="1"/>
  <c r="BN34" i="9"/>
  <c r="BO12" i="9"/>
  <c r="BO32" i="9" s="1"/>
  <c r="BO34" i="9"/>
  <c r="BP12" i="9"/>
  <c r="BP32" i="9" s="1"/>
  <c r="BP34" i="9"/>
  <c r="BQ12" i="9"/>
  <c r="BQ34" i="9"/>
  <c r="BR12" i="9"/>
  <c r="BR32" i="9" s="1"/>
  <c r="BR34" i="9"/>
  <c r="BS12" i="9"/>
  <c r="BS42" i="9" s="1"/>
  <c r="BS34" i="9"/>
  <c r="BT12" i="9"/>
  <c r="BT42" i="9" s="1"/>
  <c r="BT34" i="9"/>
  <c r="BU12" i="9"/>
  <c r="BU42" i="9" s="1"/>
  <c r="BU34" i="9"/>
  <c r="BV12" i="9"/>
  <c r="BV32" i="9" s="1"/>
  <c r="BV34" i="9"/>
  <c r="BW12" i="9"/>
  <c r="BW32" i="9" s="1"/>
  <c r="BW34" i="9"/>
  <c r="BX12" i="9"/>
  <c r="BX32" i="9" s="1"/>
  <c r="BX34" i="9"/>
  <c r="BY12" i="9"/>
  <c r="BY34" i="9"/>
  <c r="BZ12" i="9"/>
  <c r="BZ34" i="9"/>
  <c r="CA12" i="9"/>
  <c r="CA42" i="9" s="1"/>
  <c r="CA34" i="9"/>
  <c r="CB12" i="9"/>
  <c r="CB42" i="9" s="1"/>
  <c r="CB34" i="9"/>
  <c r="C15" i="9"/>
  <c r="H42" i="9"/>
  <c r="S42" i="9"/>
  <c r="AI42" i="9"/>
  <c r="D17" i="1"/>
  <c r="E17" i="1"/>
  <c r="E19" i="1"/>
  <c r="F17" i="1"/>
  <c r="F19" i="1"/>
  <c r="G17" i="1"/>
  <c r="G19" i="1"/>
  <c r="H17" i="1"/>
  <c r="H19" i="1"/>
  <c r="I17" i="1"/>
  <c r="I19" i="1"/>
  <c r="J17" i="1"/>
  <c r="J19" i="1"/>
  <c r="K17" i="1"/>
  <c r="K19" i="1"/>
  <c r="L17" i="1"/>
  <c r="L19" i="1"/>
  <c r="M17" i="1"/>
  <c r="M19" i="1"/>
  <c r="N17" i="1"/>
  <c r="N19" i="1"/>
  <c r="O17" i="1"/>
  <c r="O19" i="1"/>
  <c r="P17" i="1"/>
  <c r="P19" i="1"/>
  <c r="Q17" i="1"/>
  <c r="Q19" i="1"/>
  <c r="R17" i="1"/>
  <c r="R19" i="1"/>
  <c r="S17" i="1"/>
  <c r="S19" i="1"/>
  <c r="T17" i="1"/>
  <c r="T19" i="1"/>
  <c r="U17" i="1"/>
  <c r="U19" i="1"/>
  <c r="V17" i="1"/>
  <c r="V19" i="1"/>
  <c r="W17" i="1"/>
  <c r="W19" i="1"/>
  <c r="X17" i="1"/>
  <c r="X19" i="1"/>
  <c r="Y17" i="1"/>
  <c r="Y19" i="1"/>
  <c r="Z17" i="1"/>
  <c r="Z19" i="1"/>
  <c r="AA17" i="1"/>
  <c r="AA19" i="1"/>
  <c r="AB17" i="1"/>
  <c r="AB19" i="1"/>
  <c r="AC17" i="1"/>
  <c r="AC19" i="1"/>
  <c r="AD17" i="1"/>
  <c r="AD19" i="1"/>
  <c r="AE17" i="1"/>
  <c r="AE19" i="1"/>
  <c r="AF17" i="1"/>
  <c r="AF19" i="1"/>
  <c r="AG17" i="1"/>
  <c r="AG19" i="1"/>
  <c r="AH17" i="1"/>
  <c r="AH19" i="1"/>
  <c r="AI17" i="1"/>
  <c r="AI19" i="1"/>
  <c r="AJ17" i="1"/>
  <c r="AJ19" i="1"/>
  <c r="AK17" i="1"/>
  <c r="AK19" i="1"/>
  <c r="AL17" i="1"/>
  <c r="AL19" i="1"/>
  <c r="AM17" i="1"/>
  <c r="AM19" i="1"/>
  <c r="AN17" i="1"/>
  <c r="AN19" i="1"/>
  <c r="AO17" i="1"/>
  <c r="AO19" i="1"/>
  <c r="AP17" i="1"/>
  <c r="AP19" i="1"/>
  <c r="AQ17" i="1"/>
  <c r="AQ19" i="1"/>
  <c r="AR17" i="1"/>
  <c r="AR19" i="1"/>
  <c r="AS17" i="1"/>
  <c r="AS19" i="1"/>
  <c r="AT17" i="1"/>
  <c r="AT19" i="1"/>
  <c r="AU17" i="1"/>
  <c r="AU19" i="1"/>
  <c r="AV17" i="1"/>
  <c r="AV19" i="1"/>
  <c r="AW17" i="1"/>
  <c r="AW19" i="1"/>
  <c r="AX17" i="1"/>
  <c r="AX19" i="1"/>
  <c r="AY17" i="1"/>
  <c r="AY19" i="1"/>
  <c r="AZ17" i="1"/>
  <c r="AZ19" i="1"/>
  <c r="BA17" i="1"/>
  <c r="BA19" i="1"/>
  <c r="BB17" i="1"/>
  <c r="BB19" i="1"/>
  <c r="BC17" i="1"/>
  <c r="BC19" i="1"/>
  <c r="BD17" i="1"/>
  <c r="BD19" i="1"/>
  <c r="BE17" i="1"/>
  <c r="BE19" i="1"/>
  <c r="BF17" i="1"/>
  <c r="BF19" i="1"/>
  <c r="BG17" i="1"/>
  <c r="BG19" i="1"/>
  <c r="BH17" i="1"/>
  <c r="BH19" i="1"/>
  <c r="BI17" i="1"/>
  <c r="BI19" i="1"/>
  <c r="BJ17" i="1"/>
  <c r="BJ19" i="1"/>
  <c r="BK17" i="1"/>
  <c r="BK19" i="1"/>
  <c r="BL17" i="1"/>
  <c r="BL19" i="1"/>
  <c r="BM17" i="1"/>
  <c r="BM19" i="1"/>
  <c r="BN17" i="1"/>
  <c r="BN19" i="1"/>
  <c r="BO17" i="1"/>
  <c r="BO19" i="1"/>
  <c r="BP17" i="1"/>
  <c r="BP19" i="1"/>
  <c r="BQ17" i="1"/>
  <c r="BQ19" i="1"/>
  <c r="BR17" i="1"/>
  <c r="BR19" i="1"/>
  <c r="BS17" i="1"/>
  <c r="BS19" i="1"/>
  <c r="BT17" i="1"/>
  <c r="BT19" i="1"/>
  <c r="BU17" i="1"/>
  <c r="BU19" i="1"/>
  <c r="BV17" i="1"/>
  <c r="BV19" i="1"/>
  <c r="BW17" i="1"/>
  <c r="BW19" i="1"/>
  <c r="BX17" i="1"/>
  <c r="BX19" i="1"/>
  <c r="BY17" i="1"/>
  <c r="BY19" i="1"/>
  <c r="BZ17" i="1"/>
  <c r="BZ19" i="1"/>
  <c r="CA17" i="1"/>
  <c r="CA19" i="1"/>
  <c r="CB17" i="1"/>
  <c r="CB19" i="1"/>
  <c r="C19" i="1"/>
  <c r="C17" i="1"/>
  <c r="C13" i="1"/>
  <c r="D115" i="1"/>
  <c r="D26" i="1"/>
  <c r="D116" i="1"/>
  <c r="D32" i="1"/>
  <c r="D117" i="1"/>
  <c r="D39" i="1"/>
  <c r="D41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39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41" i="1"/>
  <c r="C35" i="1"/>
  <c r="D118" i="1"/>
  <c r="D48" i="1"/>
  <c r="D119" i="1"/>
  <c r="D53" i="1"/>
  <c r="D120" i="1"/>
  <c r="D58" i="1"/>
  <c r="D121" i="1"/>
  <c r="D122" i="1"/>
  <c r="D126" i="1"/>
  <c r="D68" i="1"/>
  <c r="D70" i="1"/>
  <c r="E68" i="1"/>
  <c r="E70" i="1"/>
  <c r="F68" i="1"/>
  <c r="F70" i="1"/>
  <c r="G68" i="1"/>
  <c r="G70" i="1"/>
  <c r="H68" i="1"/>
  <c r="H70" i="1"/>
  <c r="I68" i="1"/>
  <c r="I70" i="1"/>
  <c r="J68" i="1"/>
  <c r="J70" i="1"/>
  <c r="K68" i="1"/>
  <c r="K70" i="1"/>
  <c r="L68" i="1"/>
  <c r="L70" i="1"/>
  <c r="M68" i="1"/>
  <c r="M70" i="1"/>
  <c r="N68" i="1"/>
  <c r="N70" i="1"/>
  <c r="O68" i="1"/>
  <c r="O70" i="1"/>
  <c r="P68" i="1"/>
  <c r="P70" i="1"/>
  <c r="Q68" i="1"/>
  <c r="Q70" i="1"/>
  <c r="R68" i="1"/>
  <c r="R70" i="1"/>
  <c r="S68" i="1"/>
  <c r="S70" i="1"/>
  <c r="T68" i="1"/>
  <c r="T70" i="1"/>
  <c r="U68" i="1"/>
  <c r="U70" i="1"/>
  <c r="V68" i="1"/>
  <c r="V70" i="1"/>
  <c r="W68" i="1"/>
  <c r="W70" i="1"/>
  <c r="X68" i="1"/>
  <c r="X70" i="1"/>
  <c r="Y68" i="1"/>
  <c r="Y70" i="1"/>
  <c r="Z68" i="1"/>
  <c r="Z70" i="1"/>
  <c r="AA68" i="1"/>
  <c r="AA70" i="1"/>
  <c r="AB68" i="1"/>
  <c r="AB70" i="1"/>
  <c r="AC68" i="1"/>
  <c r="AC70" i="1"/>
  <c r="AD68" i="1"/>
  <c r="AD70" i="1"/>
  <c r="AE68" i="1"/>
  <c r="AE70" i="1"/>
  <c r="AF68" i="1"/>
  <c r="AF70" i="1"/>
  <c r="AG68" i="1"/>
  <c r="AG70" i="1"/>
  <c r="AH68" i="1"/>
  <c r="AH70" i="1"/>
  <c r="AI68" i="1"/>
  <c r="AI70" i="1"/>
  <c r="AJ68" i="1"/>
  <c r="AJ70" i="1"/>
  <c r="AK68" i="1"/>
  <c r="AK70" i="1"/>
  <c r="AL68" i="1"/>
  <c r="AL70" i="1"/>
  <c r="AM68" i="1"/>
  <c r="AM70" i="1"/>
  <c r="AN68" i="1"/>
  <c r="AN70" i="1"/>
  <c r="AO68" i="1"/>
  <c r="AO70" i="1"/>
  <c r="AP68" i="1"/>
  <c r="AP70" i="1"/>
  <c r="AQ68" i="1"/>
  <c r="AQ70" i="1"/>
  <c r="AR68" i="1"/>
  <c r="AR70" i="1"/>
  <c r="AS68" i="1"/>
  <c r="AS70" i="1"/>
  <c r="AT68" i="1"/>
  <c r="AT70" i="1"/>
  <c r="AU68" i="1"/>
  <c r="AU70" i="1"/>
  <c r="AV68" i="1"/>
  <c r="AV70" i="1"/>
  <c r="AW68" i="1"/>
  <c r="AW70" i="1"/>
  <c r="AX68" i="1"/>
  <c r="AX70" i="1"/>
  <c r="AY68" i="1"/>
  <c r="AY70" i="1"/>
  <c r="AZ68" i="1"/>
  <c r="AZ70" i="1"/>
  <c r="BA68" i="1"/>
  <c r="BA70" i="1"/>
  <c r="BB68" i="1"/>
  <c r="BB70" i="1"/>
  <c r="BC68" i="1"/>
  <c r="BC70" i="1"/>
  <c r="BD68" i="1"/>
  <c r="BD70" i="1"/>
  <c r="BE68" i="1"/>
  <c r="BE70" i="1"/>
  <c r="BF68" i="1"/>
  <c r="BF70" i="1"/>
  <c r="BG68" i="1"/>
  <c r="BG70" i="1"/>
  <c r="BH68" i="1"/>
  <c r="BH70" i="1"/>
  <c r="BI68" i="1"/>
  <c r="BI70" i="1"/>
  <c r="BJ68" i="1"/>
  <c r="BJ70" i="1"/>
  <c r="BK68" i="1"/>
  <c r="BK70" i="1"/>
  <c r="BL68" i="1"/>
  <c r="BL70" i="1"/>
  <c r="BM68" i="1"/>
  <c r="BM70" i="1"/>
  <c r="BN68" i="1"/>
  <c r="BN70" i="1"/>
  <c r="BO68" i="1"/>
  <c r="BO70" i="1"/>
  <c r="BP68" i="1"/>
  <c r="BP70" i="1"/>
  <c r="BQ68" i="1"/>
  <c r="BQ70" i="1"/>
  <c r="BR68" i="1"/>
  <c r="BR70" i="1"/>
  <c r="BS68" i="1"/>
  <c r="BS70" i="1"/>
  <c r="BT68" i="1"/>
  <c r="BT70" i="1"/>
  <c r="BU68" i="1"/>
  <c r="BU70" i="1"/>
  <c r="BV68" i="1"/>
  <c r="BV70" i="1"/>
  <c r="BW68" i="1"/>
  <c r="BW70" i="1"/>
  <c r="BX68" i="1"/>
  <c r="BX70" i="1"/>
  <c r="BY68" i="1"/>
  <c r="BY70" i="1"/>
  <c r="BZ68" i="1"/>
  <c r="BZ70" i="1"/>
  <c r="CA68" i="1"/>
  <c r="CA70" i="1"/>
  <c r="CB68" i="1"/>
  <c r="CB70" i="1"/>
  <c r="C70" i="1"/>
  <c r="C68" i="1"/>
  <c r="C64" i="1"/>
  <c r="D72" i="1"/>
  <c r="D129" i="1"/>
  <c r="D77" i="1"/>
  <c r="D130" i="1"/>
  <c r="D83" i="1"/>
  <c r="D131" i="1"/>
  <c r="D90" i="1"/>
  <c r="D92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90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92" i="1"/>
  <c r="D132" i="1"/>
  <c r="D99" i="1"/>
  <c r="D133" i="1"/>
  <c r="D104" i="1"/>
  <c r="D134" i="1"/>
  <c r="D109" i="1"/>
  <c r="D135" i="1"/>
  <c r="D136" i="1"/>
  <c r="D140" i="1"/>
  <c r="D143" i="1"/>
  <c r="C11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26" i="1"/>
  <c r="C116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32" i="1"/>
  <c r="C117" i="1"/>
  <c r="C43" i="1"/>
  <c r="C11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48" i="1"/>
  <c r="C119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53" i="1"/>
  <c r="C120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58" i="1"/>
  <c r="C121" i="1"/>
  <c r="C122" i="1"/>
  <c r="C126" i="1"/>
  <c r="C72" i="1"/>
  <c r="C129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77" i="1"/>
  <c r="C130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83" i="1"/>
  <c r="C131" i="1"/>
  <c r="C94" i="1"/>
  <c r="C132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99" i="1"/>
  <c r="C13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104" i="1"/>
  <c r="C134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109" i="1"/>
  <c r="C135" i="1"/>
  <c r="C136" i="1"/>
  <c r="C138" i="1"/>
  <c r="C140" i="1"/>
  <c r="C143" i="1"/>
  <c r="D144" i="1"/>
  <c r="D50" i="9"/>
  <c r="D52" i="9" s="1"/>
  <c r="E21" i="1"/>
  <c r="E115" i="1"/>
  <c r="E116" i="1"/>
  <c r="E117" i="1"/>
  <c r="E43" i="1"/>
  <c r="E118" i="1"/>
  <c r="E119" i="1"/>
  <c r="E120" i="1"/>
  <c r="E121" i="1"/>
  <c r="E122" i="1"/>
  <c r="E126" i="1"/>
  <c r="E72" i="1"/>
  <c r="E129" i="1"/>
  <c r="E130" i="1"/>
  <c r="E131" i="1"/>
  <c r="E94" i="1"/>
  <c r="E132" i="1"/>
  <c r="E133" i="1"/>
  <c r="E134" i="1"/>
  <c r="E135" i="1"/>
  <c r="E136" i="1"/>
  <c r="E140" i="1"/>
  <c r="E143" i="1"/>
  <c r="E144" i="1"/>
  <c r="E50" i="9"/>
  <c r="E52" i="9" s="1"/>
  <c r="F21" i="1"/>
  <c r="F115" i="1"/>
  <c r="F116" i="1"/>
  <c r="F117" i="1"/>
  <c r="F43" i="1"/>
  <c r="F118" i="1"/>
  <c r="F119" i="1"/>
  <c r="F120" i="1"/>
  <c r="F121" i="1"/>
  <c r="F122" i="1"/>
  <c r="F126" i="1"/>
  <c r="F72" i="1"/>
  <c r="F129" i="1"/>
  <c r="F130" i="1"/>
  <c r="F131" i="1"/>
  <c r="F94" i="1"/>
  <c r="F132" i="1"/>
  <c r="F133" i="1"/>
  <c r="F134" i="1"/>
  <c r="F135" i="1"/>
  <c r="F136" i="1"/>
  <c r="F140" i="1"/>
  <c r="F143" i="1"/>
  <c r="F144" i="1"/>
  <c r="F50" i="9"/>
  <c r="F52" i="9" s="1"/>
  <c r="G21" i="1"/>
  <c r="G115" i="1"/>
  <c r="G116" i="1"/>
  <c r="G117" i="1"/>
  <c r="G43" i="1"/>
  <c r="G118" i="1"/>
  <c r="G119" i="1"/>
  <c r="G120" i="1"/>
  <c r="G121" i="1"/>
  <c r="G122" i="1"/>
  <c r="G126" i="1"/>
  <c r="G72" i="1"/>
  <c r="G129" i="1"/>
  <c r="G130" i="1"/>
  <c r="G131" i="1"/>
  <c r="G94" i="1"/>
  <c r="G132" i="1"/>
  <c r="G133" i="1"/>
  <c r="G134" i="1"/>
  <c r="G135" i="1"/>
  <c r="G136" i="1"/>
  <c r="G140" i="1"/>
  <c r="G143" i="1"/>
  <c r="G144" i="1"/>
  <c r="G50" i="9"/>
  <c r="G52" i="9" s="1"/>
  <c r="H21" i="1"/>
  <c r="H115" i="1"/>
  <c r="H116" i="1"/>
  <c r="H117" i="1"/>
  <c r="H43" i="1"/>
  <c r="H118" i="1"/>
  <c r="H119" i="1"/>
  <c r="H120" i="1"/>
  <c r="H121" i="1"/>
  <c r="H122" i="1"/>
  <c r="H126" i="1"/>
  <c r="H72" i="1"/>
  <c r="H129" i="1"/>
  <c r="H130" i="1"/>
  <c r="H131" i="1"/>
  <c r="H94" i="1"/>
  <c r="H132" i="1"/>
  <c r="H133" i="1"/>
  <c r="H134" i="1"/>
  <c r="H135" i="1"/>
  <c r="H136" i="1"/>
  <c r="H140" i="1"/>
  <c r="H143" i="1"/>
  <c r="H144" i="1"/>
  <c r="H50" i="9"/>
  <c r="H52" i="9" s="1"/>
  <c r="I21" i="1"/>
  <c r="I115" i="1"/>
  <c r="I116" i="1"/>
  <c r="I117" i="1"/>
  <c r="I43" i="1"/>
  <c r="I118" i="1"/>
  <c r="I119" i="1"/>
  <c r="I120" i="1"/>
  <c r="I121" i="1"/>
  <c r="I122" i="1"/>
  <c r="I126" i="1"/>
  <c r="I72" i="1"/>
  <c r="I129" i="1"/>
  <c r="I130" i="1"/>
  <c r="I131" i="1"/>
  <c r="I94" i="1"/>
  <c r="I132" i="1"/>
  <c r="I133" i="1"/>
  <c r="I134" i="1"/>
  <c r="I135" i="1"/>
  <c r="I136" i="1"/>
  <c r="I140" i="1"/>
  <c r="I143" i="1"/>
  <c r="I144" i="1"/>
  <c r="I50" i="9"/>
  <c r="I52" i="9" s="1"/>
  <c r="J21" i="1"/>
  <c r="J115" i="1"/>
  <c r="J116" i="1"/>
  <c r="J117" i="1"/>
  <c r="J43" i="1"/>
  <c r="J118" i="1"/>
  <c r="J119" i="1"/>
  <c r="J120" i="1"/>
  <c r="J121" i="1"/>
  <c r="J122" i="1"/>
  <c r="J126" i="1"/>
  <c r="J72" i="1"/>
  <c r="J129" i="1"/>
  <c r="J130" i="1"/>
  <c r="J131" i="1"/>
  <c r="J94" i="1"/>
  <c r="J132" i="1"/>
  <c r="J133" i="1"/>
  <c r="J134" i="1"/>
  <c r="J135" i="1"/>
  <c r="J136" i="1"/>
  <c r="J140" i="1"/>
  <c r="J143" i="1"/>
  <c r="J144" i="1"/>
  <c r="J50" i="9"/>
  <c r="J52" i="9" s="1"/>
  <c r="K21" i="1"/>
  <c r="K115" i="1"/>
  <c r="K116" i="1"/>
  <c r="K117" i="1"/>
  <c r="K43" i="1"/>
  <c r="K118" i="1"/>
  <c r="K119" i="1"/>
  <c r="K120" i="1"/>
  <c r="K121" i="1"/>
  <c r="K122" i="1"/>
  <c r="K126" i="1"/>
  <c r="K72" i="1"/>
  <c r="K129" i="1"/>
  <c r="K130" i="1"/>
  <c r="K131" i="1"/>
  <c r="K94" i="1"/>
  <c r="K132" i="1"/>
  <c r="K133" i="1"/>
  <c r="K134" i="1"/>
  <c r="K135" i="1"/>
  <c r="K136" i="1"/>
  <c r="K140" i="1"/>
  <c r="K143" i="1"/>
  <c r="K144" i="1"/>
  <c r="K50" i="9"/>
  <c r="K52" i="9" s="1"/>
  <c r="L21" i="1"/>
  <c r="L115" i="1"/>
  <c r="L116" i="1"/>
  <c r="L117" i="1"/>
  <c r="L43" i="1"/>
  <c r="L118" i="1"/>
  <c r="L119" i="1"/>
  <c r="L120" i="1"/>
  <c r="L121" i="1"/>
  <c r="L122" i="1"/>
  <c r="L126" i="1"/>
  <c r="L72" i="1"/>
  <c r="L129" i="1"/>
  <c r="L130" i="1"/>
  <c r="L131" i="1"/>
  <c r="L94" i="1"/>
  <c r="L132" i="1"/>
  <c r="L133" i="1"/>
  <c r="L134" i="1"/>
  <c r="L135" i="1"/>
  <c r="L136" i="1"/>
  <c r="L140" i="1"/>
  <c r="L143" i="1"/>
  <c r="L144" i="1"/>
  <c r="L50" i="9"/>
  <c r="L52" i="9" s="1"/>
  <c r="M21" i="1"/>
  <c r="M115" i="1"/>
  <c r="M116" i="1"/>
  <c r="M117" i="1"/>
  <c r="M43" i="1"/>
  <c r="M118" i="1"/>
  <c r="M119" i="1"/>
  <c r="M120" i="1"/>
  <c r="M121" i="1"/>
  <c r="M122" i="1"/>
  <c r="M126" i="1"/>
  <c r="M72" i="1"/>
  <c r="M129" i="1"/>
  <c r="M130" i="1"/>
  <c r="M131" i="1"/>
  <c r="M94" i="1"/>
  <c r="M132" i="1"/>
  <c r="M133" i="1"/>
  <c r="M134" i="1"/>
  <c r="M135" i="1"/>
  <c r="M136" i="1"/>
  <c r="M140" i="1"/>
  <c r="M143" i="1"/>
  <c r="M144" i="1"/>
  <c r="M50" i="9"/>
  <c r="M52" i="9" s="1"/>
  <c r="N21" i="1"/>
  <c r="N115" i="1"/>
  <c r="N116" i="1"/>
  <c r="N117" i="1"/>
  <c r="N43" i="1"/>
  <c r="N118" i="1"/>
  <c r="N119" i="1"/>
  <c r="N120" i="1"/>
  <c r="N121" i="1"/>
  <c r="N122" i="1"/>
  <c r="N126" i="1"/>
  <c r="N72" i="1"/>
  <c r="N129" i="1"/>
  <c r="N130" i="1"/>
  <c r="N131" i="1"/>
  <c r="N94" i="1"/>
  <c r="N132" i="1"/>
  <c r="N133" i="1"/>
  <c r="N134" i="1"/>
  <c r="N135" i="1"/>
  <c r="N136" i="1"/>
  <c r="N140" i="1"/>
  <c r="N143" i="1"/>
  <c r="N144" i="1"/>
  <c r="N50" i="9"/>
  <c r="N52" i="9" s="1"/>
  <c r="O21" i="1"/>
  <c r="O115" i="1"/>
  <c r="O116" i="1"/>
  <c r="O117" i="1"/>
  <c r="O43" i="1"/>
  <c r="O118" i="1"/>
  <c r="O119" i="1"/>
  <c r="O120" i="1"/>
  <c r="O121" i="1"/>
  <c r="O122" i="1"/>
  <c r="O126" i="1"/>
  <c r="O72" i="1"/>
  <c r="O129" i="1"/>
  <c r="O130" i="1"/>
  <c r="O131" i="1"/>
  <c r="O94" i="1"/>
  <c r="O132" i="1"/>
  <c r="O133" i="1"/>
  <c r="O134" i="1"/>
  <c r="O135" i="1"/>
  <c r="O136" i="1"/>
  <c r="O140" i="1"/>
  <c r="O143" i="1"/>
  <c r="O144" i="1"/>
  <c r="O50" i="9"/>
  <c r="O52" i="9" s="1"/>
  <c r="P21" i="1"/>
  <c r="P115" i="1"/>
  <c r="P116" i="1"/>
  <c r="P117" i="1"/>
  <c r="P43" i="1"/>
  <c r="P118" i="1"/>
  <c r="P119" i="1"/>
  <c r="P120" i="1"/>
  <c r="P121" i="1"/>
  <c r="P122" i="1"/>
  <c r="P126" i="1"/>
  <c r="P72" i="1"/>
  <c r="P129" i="1"/>
  <c r="P130" i="1"/>
  <c r="P131" i="1"/>
  <c r="P94" i="1"/>
  <c r="P132" i="1"/>
  <c r="P133" i="1"/>
  <c r="P134" i="1"/>
  <c r="P135" i="1"/>
  <c r="P136" i="1"/>
  <c r="P140" i="1"/>
  <c r="P143" i="1"/>
  <c r="P144" i="1"/>
  <c r="P50" i="9"/>
  <c r="P52" i="9" s="1"/>
  <c r="Q21" i="1"/>
  <c r="Q115" i="1"/>
  <c r="Q116" i="1"/>
  <c r="Q117" i="1"/>
  <c r="Q43" i="1"/>
  <c r="Q118" i="1"/>
  <c r="Q119" i="1"/>
  <c r="Q120" i="1"/>
  <c r="Q121" i="1"/>
  <c r="Q122" i="1"/>
  <c r="Q126" i="1"/>
  <c r="Q72" i="1"/>
  <c r="Q129" i="1"/>
  <c r="Q130" i="1"/>
  <c r="Q131" i="1"/>
  <c r="Q94" i="1"/>
  <c r="Q132" i="1"/>
  <c r="Q133" i="1"/>
  <c r="Q134" i="1"/>
  <c r="Q135" i="1"/>
  <c r="Q136" i="1"/>
  <c r="Q140" i="1"/>
  <c r="Q143" i="1"/>
  <c r="Q144" i="1"/>
  <c r="Q50" i="9"/>
  <c r="Q52" i="9" s="1"/>
  <c r="R21" i="1"/>
  <c r="R115" i="1"/>
  <c r="R116" i="1"/>
  <c r="R117" i="1"/>
  <c r="R43" i="1"/>
  <c r="R118" i="1"/>
  <c r="R119" i="1"/>
  <c r="R120" i="1"/>
  <c r="R121" i="1"/>
  <c r="R122" i="1"/>
  <c r="R126" i="1"/>
  <c r="R72" i="1"/>
  <c r="R129" i="1"/>
  <c r="R130" i="1"/>
  <c r="R131" i="1"/>
  <c r="R94" i="1"/>
  <c r="R132" i="1"/>
  <c r="R133" i="1"/>
  <c r="R134" i="1"/>
  <c r="R135" i="1"/>
  <c r="R136" i="1"/>
  <c r="R140" i="1"/>
  <c r="R143" i="1"/>
  <c r="R144" i="1"/>
  <c r="R50" i="9"/>
  <c r="R52" i="9" s="1"/>
  <c r="S21" i="1"/>
  <c r="S115" i="1"/>
  <c r="S116" i="1"/>
  <c r="S117" i="1"/>
  <c r="S43" i="1"/>
  <c r="S118" i="1"/>
  <c r="S119" i="1"/>
  <c r="S120" i="1"/>
  <c r="S121" i="1"/>
  <c r="S122" i="1"/>
  <c r="S126" i="1"/>
  <c r="S72" i="1"/>
  <c r="S129" i="1"/>
  <c r="S130" i="1"/>
  <c r="S131" i="1"/>
  <c r="S94" i="1"/>
  <c r="S132" i="1"/>
  <c r="S133" i="1"/>
  <c r="S134" i="1"/>
  <c r="S135" i="1"/>
  <c r="S136" i="1"/>
  <c r="S140" i="1"/>
  <c r="S143" i="1"/>
  <c r="S144" i="1"/>
  <c r="S50" i="9"/>
  <c r="S52" i="9" s="1"/>
  <c r="T21" i="1"/>
  <c r="T115" i="1"/>
  <c r="T116" i="1"/>
  <c r="T117" i="1"/>
  <c r="T43" i="1"/>
  <c r="T118" i="1"/>
  <c r="T119" i="1"/>
  <c r="T120" i="1"/>
  <c r="T121" i="1"/>
  <c r="T122" i="1"/>
  <c r="T126" i="1"/>
  <c r="T72" i="1"/>
  <c r="T129" i="1"/>
  <c r="T130" i="1"/>
  <c r="T131" i="1"/>
  <c r="T94" i="1"/>
  <c r="T132" i="1"/>
  <c r="T133" i="1"/>
  <c r="T134" i="1"/>
  <c r="T135" i="1"/>
  <c r="T136" i="1"/>
  <c r="T140" i="1"/>
  <c r="T143" i="1"/>
  <c r="T144" i="1"/>
  <c r="T50" i="9"/>
  <c r="T52" i="9" s="1"/>
  <c r="U21" i="1"/>
  <c r="U115" i="1"/>
  <c r="U116" i="1"/>
  <c r="U117" i="1"/>
  <c r="U43" i="1"/>
  <c r="U118" i="1"/>
  <c r="U119" i="1"/>
  <c r="U120" i="1"/>
  <c r="U121" i="1"/>
  <c r="U122" i="1"/>
  <c r="U126" i="1"/>
  <c r="U72" i="1"/>
  <c r="U129" i="1"/>
  <c r="U130" i="1"/>
  <c r="U131" i="1"/>
  <c r="U94" i="1"/>
  <c r="U132" i="1"/>
  <c r="U133" i="1"/>
  <c r="U134" i="1"/>
  <c r="U135" i="1"/>
  <c r="U136" i="1"/>
  <c r="U140" i="1"/>
  <c r="U143" i="1"/>
  <c r="U144" i="1"/>
  <c r="U50" i="9"/>
  <c r="U52" i="9" s="1"/>
  <c r="V21" i="1"/>
  <c r="V115" i="1"/>
  <c r="V116" i="1"/>
  <c r="V117" i="1"/>
  <c r="V43" i="1"/>
  <c r="V118" i="1"/>
  <c r="V119" i="1"/>
  <c r="V120" i="1"/>
  <c r="V121" i="1"/>
  <c r="V122" i="1"/>
  <c r="V126" i="1"/>
  <c r="V72" i="1"/>
  <c r="V129" i="1"/>
  <c r="V130" i="1"/>
  <c r="V131" i="1"/>
  <c r="V94" i="1"/>
  <c r="V132" i="1"/>
  <c r="V133" i="1"/>
  <c r="V134" i="1"/>
  <c r="V135" i="1"/>
  <c r="V136" i="1"/>
  <c r="V140" i="1"/>
  <c r="V143" i="1"/>
  <c r="V144" i="1"/>
  <c r="V50" i="9"/>
  <c r="V52" i="9" s="1"/>
  <c r="W21" i="1"/>
  <c r="W115" i="1"/>
  <c r="W116" i="1"/>
  <c r="W117" i="1"/>
  <c r="W43" i="1"/>
  <c r="W118" i="1"/>
  <c r="W119" i="1"/>
  <c r="W120" i="1"/>
  <c r="W121" i="1"/>
  <c r="W122" i="1"/>
  <c r="W126" i="1"/>
  <c r="W72" i="1"/>
  <c r="W129" i="1"/>
  <c r="W130" i="1"/>
  <c r="W131" i="1"/>
  <c r="W94" i="1"/>
  <c r="W132" i="1"/>
  <c r="W133" i="1"/>
  <c r="W134" i="1"/>
  <c r="W135" i="1"/>
  <c r="W136" i="1"/>
  <c r="W140" i="1"/>
  <c r="W143" i="1"/>
  <c r="W144" i="1"/>
  <c r="W50" i="9"/>
  <c r="W52" i="9" s="1"/>
  <c r="X21" i="1"/>
  <c r="X115" i="1"/>
  <c r="X116" i="1"/>
  <c r="X117" i="1"/>
  <c r="X43" i="1"/>
  <c r="X118" i="1"/>
  <c r="X119" i="1"/>
  <c r="X120" i="1"/>
  <c r="X121" i="1"/>
  <c r="X122" i="1"/>
  <c r="X126" i="1"/>
  <c r="X72" i="1"/>
  <c r="X129" i="1"/>
  <c r="X130" i="1"/>
  <c r="X131" i="1"/>
  <c r="X94" i="1"/>
  <c r="X132" i="1"/>
  <c r="X133" i="1"/>
  <c r="X134" i="1"/>
  <c r="X135" i="1"/>
  <c r="X136" i="1"/>
  <c r="X140" i="1"/>
  <c r="X143" i="1"/>
  <c r="X144" i="1"/>
  <c r="X50" i="9"/>
  <c r="X52" i="9" s="1"/>
  <c r="Y21" i="1"/>
  <c r="Y115" i="1"/>
  <c r="Y116" i="1"/>
  <c r="Y117" i="1"/>
  <c r="Y43" i="1"/>
  <c r="Y118" i="1"/>
  <c r="Y119" i="1"/>
  <c r="Y120" i="1"/>
  <c r="Y121" i="1"/>
  <c r="Y122" i="1"/>
  <c r="Y126" i="1"/>
  <c r="Y72" i="1"/>
  <c r="Y129" i="1"/>
  <c r="Y130" i="1"/>
  <c r="Y131" i="1"/>
  <c r="Y94" i="1"/>
  <c r="Y132" i="1"/>
  <c r="Y133" i="1"/>
  <c r="Y134" i="1"/>
  <c r="Y135" i="1"/>
  <c r="Y136" i="1"/>
  <c r="Y140" i="1"/>
  <c r="Y143" i="1"/>
  <c r="Y144" i="1"/>
  <c r="Y50" i="9"/>
  <c r="Y52" i="9" s="1"/>
  <c r="Z21" i="1"/>
  <c r="Z115" i="1"/>
  <c r="Z116" i="1"/>
  <c r="Z117" i="1"/>
  <c r="Z43" i="1"/>
  <c r="Z118" i="1"/>
  <c r="Z119" i="1"/>
  <c r="Z120" i="1"/>
  <c r="Z121" i="1"/>
  <c r="Z122" i="1"/>
  <c r="Z126" i="1"/>
  <c r="Z72" i="1"/>
  <c r="Z129" i="1"/>
  <c r="Z130" i="1"/>
  <c r="Z131" i="1"/>
  <c r="Z94" i="1"/>
  <c r="Z132" i="1"/>
  <c r="Z133" i="1"/>
  <c r="Z134" i="1"/>
  <c r="Z135" i="1"/>
  <c r="Z136" i="1"/>
  <c r="Z140" i="1"/>
  <c r="Z143" i="1"/>
  <c r="Z144" i="1"/>
  <c r="Z50" i="9"/>
  <c r="Z52" i="9" s="1"/>
  <c r="AA21" i="1"/>
  <c r="AA115" i="1"/>
  <c r="AA116" i="1"/>
  <c r="AA117" i="1"/>
  <c r="AA43" i="1"/>
  <c r="AA118" i="1"/>
  <c r="AA119" i="1"/>
  <c r="AA120" i="1"/>
  <c r="AA121" i="1"/>
  <c r="AA122" i="1"/>
  <c r="AA126" i="1"/>
  <c r="AA72" i="1"/>
  <c r="AA129" i="1"/>
  <c r="AA130" i="1"/>
  <c r="AA131" i="1"/>
  <c r="AA94" i="1"/>
  <c r="AA132" i="1"/>
  <c r="AA133" i="1"/>
  <c r="AA134" i="1"/>
  <c r="AA135" i="1"/>
  <c r="AA136" i="1"/>
  <c r="AA140" i="1"/>
  <c r="AA143" i="1"/>
  <c r="AA144" i="1"/>
  <c r="AA50" i="9"/>
  <c r="AA52" i="9" s="1"/>
  <c r="AB21" i="1"/>
  <c r="AB115" i="1"/>
  <c r="AB116" i="1"/>
  <c r="AB117" i="1"/>
  <c r="AB43" i="1"/>
  <c r="AB118" i="1"/>
  <c r="AB119" i="1"/>
  <c r="AB120" i="1"/>
  <c r="AB121" i="1"/>
  <c r="AB122" i="1"/>
  <c r="AB126" i="1"/>
  <c r="AB72" i="1"/>
  <c r="AB129" i="1"/>
  <c r="AB130" i="1"/>
  <c r="AB131" i="1"/>
  <c r="AB94" i="1"/>
  <c r="AB132" i="1"/>
  <c r="AB133" i="1"/>
  <c r="AB134" i="1"/>
  <c r="AB135" i="1"/>
  <c r="AB136" i="1"/>
  <c r="AB140" i="1"/>
  <c r="AB143" i="1"/>
  <c r="AB144" i="1"/>
  <c r="AB50" i="9"/>
  <c r="AB52" i="9" s="1"/>
  <c r="AC21" i="1"/>
  <c r="AC115" i="1"/>
  <c r="AC116" i="1"/>
  <c r="AC117" i="1"/>
  <c r="AC43" i="1"/>
  <c r="AC118" i="1"/>
  <c r="AC119" i="1"/>
  <c r="AC120" i="1"/>
  <c r="AC121" i="1"/>
  <c r="AC122" i="1"/>
  <c r="AC126" i="1"/>
  <c r="AC72" i="1"/>
  <c r="AC129" i="1"/>
  <c r="AC130" i="1"/>
  <c r="AC131" i="1"/>
  <c r="AC94" i="1"/>
  <c r="AC132" i="1"/>
  <c r="AC133" i="1"/>
  <c r="AC134" i="1"/>
  <c r="AC135" i="1"/>
  <c r="AC136" i="1"/>
  <c r="AC140" i="1"/>
  <c r="AC143" i="1"/>
  <c r="AC144" i="1"/>
  <c r="AC50" i="9"/>
  <c r="AC52" i="9" s="1"/>
  <c r="AD21" i="1"/>
  <c r="AD115" i="1"/>
  <c r="AD116" i="1"/>
  <c r="AD117" i="1"/>
  <c r="AD43" i="1"/>
  <c r="AD118" i="1"/>
  <c r="AD119" i="1"/>
  <c r="AD120" i="1"/>
  <c r="AD121" i="1"/>
  <c r="AD122" i="1"/>
  <c r="AD126" i="1"/>
  <c r="AD72" i="1"/>
  <c r="AD129" i="1"/>
  <c r="AD130" i="1"/>
  <c r="AD131" i="1"/>
  <c r="AD94" i="1"/>
  <c r="AD132" i="1"/>
  <c r="AD133" i="1"/>
  <c r="AD134" i="1"/>
  <c r="AD135" i="1"/>
  <c r="AD136" i="1"/>
  <c r="AD140" i="1"/>
  <c r="AD143" i="1"/>
  <c r="AD144" i="1"/>
  <c r="AD50" i="9"/>
  <c r="AD52" i="9" s="1"/>
  <c r="AE21" i="1"/>
  <c r="AE115" i="1"/>
  <c r="AE116" i="1"/>
  <c r="AE117" i="1"/>
  <c r="AE43" i="1"/>
  <c r="AE118" i="1"/>
  <c r="AE119" i="1"/>
  <c r="AE120" i="1"/>
  <c r="AE121" i="1"/>
  <c r="AE122" i="1"/>
  <c r="AE126" i="1"/>
  <c r="AE72" i="1"/>
  <c r="AE129" i="1"/>
  <c r="AE130" i="1"/>
  <c r="AE131" i="1"/>
  <c r="AE94" i="1"/>
  <c r="AE132" i="1"/>
  <c r="AE133" i="1"/>
  <c r="AE134" i="1"/>
  <c r="AE135" i="1"/>
  <c r="AE136" i="1"/>
  <c r="AE140" i="1"/>
  <c r="AE143" i="1"/>
  <c r="AE144" i="1"/>
  <c r="AE50" i="9"/>
  <c r="AE52" i="9" s="1"/>
  <c r="AF21" i="1"/>
  <c r="AF115" i="1"/>
  <c r="AF116" i="1"/>
  <c r="AF117" i="1"/>
  <c r="AF43" i="1"/>
  <c r="AF118" i="1"/>
  <c r="AF119" i="1"/>
  <c r="AF120" i="1"/>
  <c r="AF121" i="1"/>
  <c r="AF122" i="1"/>
  <c r="AF126" i="1"/>
  <c r="AF72" i="1"/>
  <c r="AF129" i="1"/>
  <c r="AF130" i="1"/>
  <c r="AF131" i="1"/>
  <c r="AF94" i="1"/>
  <c r="AF132" i="1"/>
  <c r="AF133" i="1"/>
  <c r="AF134" i="1"/>
  <c r="AF135" i="1"/>
  <c r="AF136" i="1"/>
  <c r="AF140" i="1"/>
  <c r="AF143" i="1"/>
  <c r="AF144" i="1"/>
  <c r="AF50" i="9"/>
  <c r="AF52" i="9" s="1"/>
  <c r="AG21" i="1"/>
  <c r="AG115" i="1"/>
  <c r="AG116" i="1"/>
  <c r="AG117" i="1"/>
  <c r="AG43" i="1"/>
  <c r="AG118" i="1"/>
  <c r="AG119" i="1"/>
  <c r="AG120" i="1"/>
  <c r="AG121" i="1"/>
  <c r="AG122" i="1"/>
  <c r="AG126" i="1"/>
  <c r="AG72" i="1"/>
  <c r="AG129" i="1"/>
  <c r="AG130" i="1"/>
  <c r="AG131" i="1"/>
  <c r="AG94" i="1"/>
  <c r="AG132" i="1"/>
  <c r="AG133" i="1"/>
  <c r="AG134" i="1"/>
  <c r="AG135" i="1"/>
  <c r="AG136" i="1"/>
  <c r="AG140" i="1"/>
  <c r="AG143" i="1"/>
  <c r="AG144" i="1"/>
  <c r="AG50" i="9"/>
  <c r="AG52" i="9" s="1"/>
  <c r="AH21" i="1"/>
  <c r="AH115" i="1"/>
  <c r="AH116" i="1"/>
  <c r="AH117" i="1"/>
  <c r="AH43" i="1"/>
  <c r="AH118" i="1"/>
  <c r="AH119" i="1"/>
  <c r="AH120" i="1"/>
  <c r="AH121" i="1"/>
  <c r="AH122" i="1"/>
  <c r="AH126" i="1"/>
  <c r="AH72" i="1"/>
  <c r="AH129" i="1"/>
  <c r="AH130" i="1"/>
  <c r="AH131" i="1"/>
  <c r="AH94" i="1"/>
  <c r="AH132" i="1"/>
  <c r="AH133" i="1"/>
  <c r="AH134" i="1"/>
  <c r="AH135" i="1"/>
  <c r="AH136" i="1"/>
  <c r="AH140" i="1"/>
  <c r="AH143" i="1"/>
  <c r="AH144" i="1"/>
  <c r="AH50" i="9"/>
  <c r="AH52" i="9" s="1"/>
  <c r="AI21" i="1"/>
  <c r="AI115" i="1"/>
  <c r="AI116" i="1"/>
  <c r="AI117" i="1"/>
  <c r="AI43" i="1"/>
  <c r="AI118" i="1"/>
  <c r="AI119" i="1"/>
  <c r="AI120" i="1"/>
  <c r="AI121" i="1"/>
  <c r="AI122" i="1"/>
  <c r="AI126" i="1"/>
  <c r="AI72" i="1"/>
  <c r="AI129" i="1"/>
  <c r="AI130" i="1"/>
  <c r="AI131" i="1"/>
  <c r="AI94" i="1"/>
  <c r="AI132" i="1"/>
  <c r="AI133" i="1"/>
  <c r="AI134" i="1"/>
  <c r="AI135" i="1"/>
  <c r="AI136" i="1"/>
  <c r="AI140" i="1"/>
  <c r="AI143" i="1"/>
  <c r="AI144" i="1"/>
  <c r="AI50" i="9"/>
  <c r="AI52" i="9" s="1"/>
  <c r="AJ21" i="1"/>
  <c r="AJ115" i="1"/>
  <c r="AJ116" i="1"/>
  <c r="AJ117" i="1"/>
  <c r="AJ43" i="1"/>
  <c r="AJ118" i="1"/>
  <c r="AJ119" i="1"/>
  <c r="AJ120" i="1"/>
  <c r="AJ121" i="1"/>
  <c r="AJ122" i="1"/>
  <c r="AJ126" i="1"/>
  <c r="AJ72" i="1"/>
  <c r="AJ129" i="1"/>
  <c r="AJ130" i="1"/>
  <c r="AJ131" i="1"/>
  <c r="AJ94" i="1"/>
  <c r="AJ132" i="1"/>
  <c r="AJ133" i="1"/>
  <c r="AJ134" i="1"/>
  <c r="AJ135" i="1"/>
  <c r="AJ136" i="1"/>
  <c r="AJ140" i="1"/>
  <c r="AJ143" i="1"/>
  <c r="AJ144" i="1"/>
  <c r="AJ50" i="9"/>
  <c r="AJ52" i="9" s="1"/>
  <c r="AK21" i="1"/>
  <c r="AK115" i="1"/>
  <c r="AK116" i="1"/>
  <c r="AK117" i="1"/>
  <c r="AK43" i="1"/>
  <c r="AK118" i="1"/>
  <c r="AK119" i="1"/>
  <c r="AK120" i="1"/>
  <c r="AK121" i="1"/>
  <c r="AK122" i="1"/>
  <c r="AK126" i="1"/>
  <c r="AK72" i="1"/>
  <c r="AK129" i="1"/>
  <c r="AK130" i="1"/>
  <c r="AK131" i="1"/>
  <c r="AK94" i="1"/>
  <c r="AK132" i="1"/>
  <c r="AK133" i="1"/>
  <c r="AK134" i="1"/>
  <c r="AK135" i="1"/>
  <c r="AK136" i="1"/>
  <c r="AK140" i="1"/>
  <c r="AK143" i="1"/>
  <c r="AK144" i="1"/>
  <c r="AK50" i="9"/>
  <c r="AK52" i="9" s="1"/>
  <c r="AL21" i="1"/>
  <c r="AL115" i="1"/>
  <c r="AL116" i="1"/>
  <c r="AL117" i="1"/>
  <c r="AL43" i="1"/>
  <c r="AL118" i="1"/>
  <c r="AL119" i="1"/>
  <c r="AL120" i="1"/>
  <c r="AL121" i="1"/>
  <c r="AL122" i="1"/>
  <c r="AL126" i="1"/>
  <c r="AL72" i="1"/>
  <c r="AL129" i="1"/>
  <c r="AL130" i="1"/>
  <c r="AL131" i="1"/>
  <c r="AL94" i="1"/>
  <c r="AL132" i="1"/>
  <c r="AL133" i="1"/>
  <c r="AL134" i="1"/>
  <c r="AL135" i="1"/>
  <c r="AL136" i="1"/>
  <c r="AL140" i="1"/>
  <c r="AL143" i="1"/>
  <c r="AL144" i="1"/>
  <c r="AL50" i="9"/>
  <c r="AL52" i="9" s="1"/>
  <c r="AM21" i="1"/>
  <c r="AM115" i="1"/>
  <c r="AM116" i="1"/>
  <c r="AM117" i="1"/>
  <c r="AM43" i="1"/>
  <c r="AM118" i="1"/>
  <c r="AM119" i="1"/>
  <c r="AM120" i="1"/>
  <c r="AM121" i="1"/>
  <c r="AM122" i="1"/>
  <c r="AM126" i="1"/>
  <c r="AM72" i="1"/>
  <c r="AM129" i="1"/>
  <c r="AM130" i="1"/>
  <c r="AM131" i="1"/>
  <c r="AM94" i="1"/>
  <c r="AM132" i="1"/>
  <c r="AM133" i="1"/>
  <c r="AM134" i="1"/>
  <c r="AM135" i="1"/>
  <c r="AM136" i="1"/>
  <c r="AM140" i="1"/>
  <c r="AM143" i="1"/>
  <c r="AM144" i="1"/>
  <c r="AM50" i="9"/>
  <c r="AM52" i="9" s="1"/>
  <c r="AN21" i="1"/>
  <c r="AN115" i="1"/>
  <c r="AN116" i="1"/>
  <c r="AN117" i="1"/>
  <c r="AN43" i="1"/>
  <c r="AN118" i="1"/>
  <c r="AN119" i="1"/>
  <c r="AN120" i="1"/>
  <c r="AN121" i="1"/>
  <c r="AN122" i="1"/>
  <c r="AN126" i="1"/>
  <c r="AN72" i="1"/>
  <c r="AN129" i="1"/>
  <c r="AN130" i="1"/>
  <c r="AN131" i="1"/>
  <c r="AN94" i="1"/>
  <c r="AN132" i="1"/>
  <c r="AN133" i="1"/>
  <c r="AN134" i="1"/>
  <c r="AN135" i="1"/>
  <c r="AN136" i="1"/>
  <c r="AN140" i="1"/>
  <c r="AN143" i="1"/>
  <c r="AN144" i="1"/>
  <c r="AN50" i="9"/>
  <c r="AN52" i="9" s="1"/>
  <c r="AO21" i="1"/>
  <c r="AO115" i="1"/>
  <c r="AO116" i="1"/>
  <c r="AO117" i="1"/>
  <c r="AO43" i="1"/>
  <c r="AO118" i="1"/>
  <c r="AO119" i="1"/>
  <c r="AO120" i="1"/>
  <c r="AO121" i="1"/>
  <c r="AO122" i="1"/>
  <c r="AO126" i="1"/>
  <c r="AO72" i="1"/>
  <c r="AO129" i="1"/>
  <c r="AO130" i="1"/>
  <c r="AO131" i="1"/>
  <c r="AO94" i="1"/>
  <c r="AO132" i="1"/>
  <c r="AO133" i="1"/>
  <c r="AO134" i="1"/>
  <c r="AO135" i="1"/>
  <c r="AO136" i="1"/>
  <c r="AO140" i="1"/>
  <c r="AO143" i="1"/>
  <c r="AO144" i="1"/>
  <c r="AO50" i="9"/>
  <c r="AO52" i="9" s="1"/>
  <c r="AP21" i="1"/>
  <c r="AP115" i="1"/>
  <c r="AP116" i="1"/>
  <c r="AP117" i="1"/>
  <c r="AP43" i="1"/>
  <c r="AP118" i="1"/>
  <c r="AP119" i="1"/>
  <c r="AP120" i="1"/>
  <c r="AP121" i="1"/>
  <c r="AP122" i="1"/>
  <c r="AP126" i="1"/>
  <c r="AP72" i="1"/>
  <c r="AP129" i="1"/>
  <c r="AP130" i="1"/>
  <c r="AP131" i="1"/>
  <c r="AP94" i="1"/>
  <c r="AP132" i="1"/>
  <c r="AP133" i="1"/>
  <c r="AP134" i="1"/>
  <c r="AP135" i="1"/>
  <c r="AP136" i="1"/>
  <c r="AP140" i="1"/>
  <c r="AP143" i="1"/>
  <c r="AP144" i="1"/>
  <c r="AP50" i="9"/>
  <c r="AP52" i="9" s="1"/>
  <c r="AQ21" i="1"/>
  <c r="AQ115" i="1"/>
  <c r="AQ116" i="1"/>
  <c r="AQ117" i="1"/>
  <c r="AQ43" i="1"/>
  <c r="AQ118" i="1"/>
  <c r="AQ119" i="1"/>
  <c r="AQ120" i="1"/>
  <c r="AQ121" i="1"/>
  <c r="AQ122" i="1"/>
  <c r="AQ126" i="1"/>
  <c r="AQ72" i="1"/>
  <c r="AQ129" i="1"/>
  <c r="AQ130" i="1"/>
  <c r="AQ131" i="1"/>
  <c r="AQ94" i="1"/>
  <c r="AQ132" i="1"/>
  <c r="AQ133" i="1"/>
  <c r="AQ134" i="1"/>
  <c r="AQ135" i="1"/>
  <c r="AQ136" i="1"/>
  <c r="AQ140" i="1"/>
  <c r="AQ143" i="1"/>
  <c r="AQ144" i="1"/>
  <c r="AQ50" i="9"/>
  <c r="AQ52" i="9" s="1"/>
  <c r="AR21" i="1"/>
  <c r="AR115" i="1"/>
  <c r="AR116" i="1"/>
  <c r="AR117" i="1"/>
  <c r="AR43" i="1"/>
  <c r="AR118" i="1"/>
  <c r="AR119" i="1"/>
  <c r="AR120" i="1"/>
  <c r="AR121" i="1"/>
  <c r="AR122" i="1"/>
  <c r="AR126" i="1"/>
  <c r="AR72" i="1"/>
  <c r="AR129" i="1"/>
  <c r="AR130" i="1"/>
  <c r="AR131" i="1"/>
  <c r="AR94" i="1"/>
  <c r="AR132" i="1"/>
  <c r="AR133" i="1"/>
  <c r="AR134" i="1"/>
  <c r="AR135" i="1"/>
  <c r="AR136" i="1"/>
  <c r="AR140" i="1"/>
  <c r="AR143" i="1"/>
  <c r="AR144" i="1"/>
  <c r="AR50" i="9"/>
  <c r="AR52" i="9" s="1"/>
  <c r="AS21" i="1"/>
  <c r="AS115" i="1"/>
  <c r="AS116" i="1"/>
  <c r="AS117" i="1"/>
  <c r="AS43" i="1"/>
  <c r="AS118" i="1"/>
  <c r="AS119" i="1"/>
  <c r="AS120" i="1"/>
  <c r="AS121" i="1"/>
  <c r="AS122" i="1"/>
  <c r="AS126" i="1"/>
  <c r="AS72" i="1"/>
  <c r="AS129" i="1"/>
  <c r="AS130" i="1"/>
  <c r="AS131" i="1"/>
  <c r="AS94" i="1"/>
  <c r="AS132" i="1"/>
  <c r="AS133" i="1"/>
  <c r="AS134" i="1"/>
  <c r="AS135" i="1"/>
  <c r="AS136" i="1"/>
  <c r="AS140" i="1"/>
  <c r="AS143" i="1"/>
  <c r="AS144" i="1"/>
  <c r="AS50" i="9"/>
  <c r="AS52" i="9" s="1"/>
  <c r="AT21" i="1"/>
  <c r="AT115" i="1"/>
  <c r="AT116" i="1"/>
  <c r="AT117" i="1"/>
  <c r="AT43" i="1"/>
  <c r="AT118" i="1"/>
  <c r="AT119" i="1"/>
  <c r="AT120" i="1"/>
  <c r="AT121" i="1"/>
  <c r="AT122" i="1"/>
  <c r="AT126" i="1"/>
  <c r="AT72" i="1"/>
  <c r="AT129" i="1"/>
  <c r="AT130" i="1"/>
  <c r="AT131" i="1"/>
  <c r="AT94" i="1"/>
  <c r="AT132" i="1"/>
  <c r="AT133" i="1"/>
  <c r="AT134" i="1"/>
  <c r="AT135" i="1"/>
  <c r="AT136" i="1"/>
  <c r="AT140" i="1"/>
  <c r="AT143" i="1"/>
  <c r="AT144" i="1"/>
  <c r="AT50" i="9"/>
  <c r="AT52" i="9" s="1"/>
  <c r="AU21" i="1"/>
  <c r="AU115" i="1"/>
  <c r="AU116" i="1"/>
  <c r="AU117" i="1"/>
  <c r="AU43" i="1"/>
  <c r="AU118" i="1"/>
  <c r="AU119" i="1"/>
  <c r="AU120" i="1"/>
  <c r="AU121" i="1"/>
  <c r="AU122" i="1"/>
  <c r="AU126" i="1"/>
  <c r="AU72" i="1"/>
  <c r="AU129" i="1"/>
  <c r="AU130" i="1"/>
  <c r="AU131" i="1"/>
  <c r="AU94" i="1"/>
  <c r="AU132" i="1"/>
  <c r="AU133" i="1"/>
  <c r="AU134" i="1"/>
  <c r="AU135" i="1"/>
  <c r="AU136" i="1"/>
  <c r="AU140" i="1"/>
  <c r="AU143" i="1"/>
  <c r="AU144" i="1"/>
  <c r="AU50" i="9"/>
  <c r="AU52" i="9" s="1"/>
  <c r="AV21" i="1"/>
  <c r="AV115" i="1"/>
  <c r="AV116" i="1"/>
  <c r="AV117" i="1"/>
  <c r="AV43" i="1"/>
  <c r="AV118" i="1"/>
  <c r="AV119" i="1"/>
  <c r="AV120" i="1"/>
  <c r="AV121" i="1"/>
  <c r="AV122" i="1"/>
  <c r="AV126" i="1"/>
  <c r="AV72" i="1"/>
  <c r="AV129" i="1"/>
  <c r="AV130" i="1"/>
  <c r="AV131" i="1"/>
  <c r="AV94" i="1"/>
  <c r="AV132" i="1"/>
  <c r="AV133" i="1"/>
  <c r="AV134" i="1"/>
  <c r="AV135" i="1"/>
  <c r="AV136" i="1"/>
  <c r="AV140" i="1"/>
  <c r="AV143" i="1"/>
  <c r="AV144" i="1"/>
  <c r="AV50" i="9"/>
  <c r="AV52" i="9" s="1"/>
  <c r="AW21" i="1"/>
  <c r="AW115" i="1"/>
  <c r="AW116" i="1"/>
  <c r="AW117" i="1"/>
  <c r="AW43" i="1"/>
  <c r="AW118" i="1"/>
  <c r="AW119" i="1"/>
  <c r="AW120" i="1"/>
  <c r="AW121" i="1"/>
  <c r="AW122" i="1"/>
  <c r="AW126" i="1"/>
  <c r="AW72" i="1"/>
  <c r="AW129" i="1"/>
  <c r="AW130" i="1"/>
  <c r="AW131" i="1"/>
  <c r="AW94" i="1"/>
  <c r="AW132" i="1"/>
  <c r="AW133" i="1"/>
  <c r="AW134" i="1"/>
  <c r="AW135" i="1"/>
  <c r="AW136" i="1"/>
  <c r="AW140" i="1"/>
  <c r="AW143" i="1"/>
  <c r="AW144" i="1"/>
  <c r="AW50" i="9"/>
  <c r="AW52" i="9" s="1"/>
  <c r="AX21" i="1"/>
  <c r="AX115" i="1"/>
  <c r="AX116" i="1"/>
  <c r="AX117" i="1"/>
  <c r="AX43" i="1"/>
  <c r="AX118" i="1"/>
  <c r="AX119" i="1"/>
  <c r="AX120" i="1"/>
  <c r="AX121" i="1"/>
  <c r="AX122" i="1"/>
  <c r="AX126" i="1"/>
  <c r="AX72" i="1"/>
  <c r="AX129" i="1"/>
  <c r="AX130" i="1"/>
  <c r="AX131" i="1"/>
  <c r="AX94" i="1"/>
  <c r="AX132" i="1"/>
  <c r="AX133" i="1"/>
  <c r="AX134" i="1"/>
  <c r="AX135" i="1"/>
  <c r="AX136" i="1"/>
  <c r="AX140" i="1"/>
  <c r="AX143" i="1"/>
  <c r="AX144" i="1"/>
  <c r="AX50" i="9"/>
  <c r="AX52" i="9" s="1"/>
  <c r="AY21" i="1"/>
  <c r="AY115" i="1"/>
  <c r="AY116" i="1"/>
  <c r="AY117" i="1"/>
  <c r="AY43" i="1"/>
  <c r="AY118" i="1"/>
  <c r="AY119" i="1"/>
  <c r="AY120" i="1"/>
  <c r="AY121" i="1"/>
  <c r="AY122" i="1"/>
  <c r="AY126" i="1"/>
  <c r="AY72" i="1"/>
  <c r="AY129" i="1"/>
  <c r="AY130" i="1"/>
  <c r="AY131" i="1"/>
  <c r="AY94" i="1"/>
  <c r="AY132" i="1"/>
  <c r="AY133" i="1"/>
  <c r="AY134" i="1"/>
  <c r="AY135" i="1"/>
  <c r="AY136" i="1"/>
  <c r="AY140" i="1"/>
  <c r="AY143" i="1"/>
  <c r="AY144" i="1"/>
  <c r="AY50" i="9"/>
  <c r="AY52" i="9" s="1"/>
  <c r="AZ21" i="1"/>
  <c r="AZ115" i="1"/>
  <c r="AZ116" i="1"/>
  <c r="AZ117" i="1"/>
  <c r="AZ43" i="1"/>
  <c r="AZ118" i="1"/>
  <c r="AZ119" i="1"/>
  <c r="AZ120" i="1"/>
  <c r="AZ121" i="1"/>
  <c r="AZ122" i="1"/>
  <c r="AZ126" i="1"/>
  <c r="AZ72" i="1"/>
  <c r="AZ129" i="1"/>
  <c r="AZ130" i="1"/>
  <c r="AZ131" i="1"/>
  <c r="AZ94" i="1"/>
  <c r="AZ132" i="1"/>
  <c r="AZ133" i="1"/>
  <c r="AZ134" i="1"/>
  <c r="AZ135" i="1"/>
  <c r="AZ136" i="1"/>
  <c r="AZ140" i="1"/>
  <c r="AZ143" i="1"/>
  <c r="AZ144" i="1"/>
  <c r="AZ50" i="9"/>
  <c r="AZ52" i="9" s="1"/>
  <c r="BA21" i="1"/>
  <c r="BA115" i="1"/>
  <c r="BA116" i="1"/>
  <c r="BA117" i="1"/>
  <c r="BA43" i="1"/>
  <c r="BA118" i="1"/>
  <c r="BA119" i="1"/>
  <c r="BA120" i="1"/>
  <c r="BA121" i="1"/>
  <c r="BA122" i="1"/>
  <c r="BA126" i="1"/>
  <c r="BA72" i="1"/>
  <c r="BA129" i="1"/>
  <c r="BA130" i="1"/>
  <c r="BA131" i="1"/>
  <c r="BA94" i="1"/>
  <c r="BA132" i="1"/>
  <c r="BA133" i="1"/>
  <c r="BA134" i="1"/>
  <c r="BA135" i="1"/>
  <c r="BA136" i="1"/>
  <c r="BA140" i="1"/>
  <c r="BA143" i="1"/>
  <c r="BA144" i="1"/>
  <c r="BA50" i="9"/>
  <c r="BA52" i="9" s="1"/>
  <c r="BB21" i="1"/>
  <c r="BB115" i="1"/>
  <c r="BB116" i="1"/>
  <c r="BB117" i="1"/>
  <c r="BB43" i="1"/>
  <c r="BB118" i="1"/>
  <c r="BB119" i="1"/>
  <c r="BB120" i="1"/>
  <c r="BB121" i="1"/>
  <c r="BB122" i="1"/>
  <c r="BB126" i="1"/>
  <c r="BB72" i="1"/>
  <c r="BB129" i="1"/>
  <c r="BB130" i="1"/>
  <c r="BB131" i="1"/>
  <c r="BB94" i="1"/>
  <c r="BB132" i="1"/>
  <c r="BB133" i="1"/>
  <c r="BB134" i="1"/>
  <c r="BB135" i="1"/>
  <c r="BB136" i="1"/>
  <c r="BB140" i="1"/>
  <c r="BB143" i="1"/>
  <c r="BB144" i="1"/>
  <c r="BB50" i="9"/>
  <c r="BB52" i="9" s="1"/>
  <c r="BC21" i="1"/>
  <c r="BC115" i="1"/>
  <c r="BC116" i="1"/>
  <c r="BC117" i="1"/>
  <c r="BC43" i="1"/>
  <c r="BC118" i="1"/>
  <c r="BC119" i="1"/>
  <c r="BC120" i="1"/>
  <c r="BC121" i="1"/>
  <c r="BC122" i="1"/>
  <c r="BC126" i="1"/>
  <c r="BC72" i="1"/>
  <c r="BC129" i="1"/>
  <c r="BC130" i="1"/>
  <c r="BC131" i="1"/>
  <c r="BC94" i="1"/>
  <c r="BC132" i="1"/>
  <c r="BC133" i="1"/>
  <c r="BC134" i="1"/>
  <c r="BC135" i="1"/>
  <c r="BC136" i="1"/>
  <c r="BC140" i="1"/>
  <c r="BC143" i="1"/>
  <c r="BC144" i="1"/>
  <c r="BC50" i="9"/>
  <c r="BC52" i="9" s="1"/>
  <c r="BD21" i="1"/>
  <c r="BD115" i="1"/>
  <c r="BD116" i="1"/>
  <c r="BD117" i="1"/>
  <c r="BD43" i="1"/>
  <c r="BD118" i="1"/>
  <c r="BD119" i="1"/>
  <c r="BD120" i="1"/>
  <c r="BD121" i="1"/>
  <c r="BD122" i="1"/>
  <c r="BD126" i="1"/>
  <c r="BD72" i="1"/>
  <c r="BD129" i="1"/>
  <c r="BD130" i="1"/>
  <c r="BD131" i="1"/>
  <c r="BD94" i="1"/>
  <c r="BD132" i="1"/>
  <c r="BD133" i="1"/>
  <c r="BD134" i="1"/>
  <c r="BD135" i="1"/>
  <c r="BD136" i="1"/>
  <c r="BD140" i="1"/>
  <c r="BD143" i="1"/>
  <c r="BD144" i="1"/>
  <c r="BD50" i="9"/>
  <c r="BD52" i="9" s="1"/>
  <c r="BE21" i="1"/>
  <c r="BE115" i="1"/>
  <c r="BE116" i="1"/>
  <c r="BE117" i="1"/>
  <c r="BE43" i="1"/>
  <c r="BE118" i="1"/>
  <c r="BE119" i="1"/>
  <c r="BE120" i="1"/>
  <c r="BE121" i="1"/>
  <c r="BE122" i="1"/>
  <c r="BE126" i="1"/>
  <c r="BE72" i="1"/>
  <c r="BE129" i="1"/>
  <c r="BE130" i="1"/>
  <c r="BE131" i="1"/>
  <c r="BE94" i="1"/>
  <c r="BE132" i="1"/>
  <c r="BE133" i="1"/>
  <c r="BE134" i="1"/>
  <c r="BE135" i="1"/>
  <c r="BE136" i="1"/>
  <c r="BE140" i="1"/>
  <c r="BE143" i="1"/>
  <c r="BE144" i="1"/>
  <c r="BE50" i="9"/>
  <c r="BE52" i="9" s="1"/>
  <c r="BF21" i="1"/>
  <c r="BF115" i="1"/>
  <c r="BF116" i="1"/>
  <c r="BF117" i="1"/>
  <c r="BF43" i="1"/>
  <c r="BF118" i="1"/>
  <c r="BF119" i="1"/>
  <c r="BF120" i="1"/>
  <c r="BF121" i="1"/>
  <c r="BF122" i="1"/>
  <c r="BF126" i="1"/>
  <c r="BF72" i="1"/>
  <c r="BF129" i="1"/>
  <c r="BF130" i="1"/>
  <c r="BF131" i="1"/>
  <c r="BF94" i="1"/>
  <c r="BF132" i="1"/>
  <c r="BF133" i="1"/>
  <c r="BF134" i="1"/>
  <c r="BF135" i="1"/>
  <c r="BF136" i="1"/>
  <c r="BF140" i="1"/>
  <c r="BF143" i="1"/>
  <c r="BF144" i="1"/>
  <c r="BF50" i="9"/>
  <c r="BF52" i="9" s="1"/>
  <c r="BG21" i="1"/>
  <c r="BG115" i="1"/>
  <c r="BG116" i="1"/>
  <c r="BG117" i="1"/>
  <c r="BG43" i="1"/>
  <c r="BG118" i="1"/>
  <c r="BG119" i="1"/>
  <c r="BG120" i="1"/>
  <c r="BG121" i="1"/>
  <c r="BG122" i="1"/>
  <c r="BG126" i="1"/>
  <c r="BG72" i="1"/>
  <c r="BG129" i="1"/>
  <c r="BG130" i="1"/>
  <c r="BG131" i="1"/>
  <c r="BG94" i="1"/>
  <c r="BG132" i="1"/>
  <c r="BG133" i="1"/>
  <c r="BG134" i="1"/>
  <c r="BG135" i="1"/>
  <c r="BG136" i="1"/>
  <c r="BG140" i="1"/>
  <c r="BG143" i="1"/>
  <c r="BG144" i="1"/>
  <c r="BG50" i="9"/>
  <c r="BG52" i="9" s="1"/>
  <c r="BH21" i="1"/>
  <c r="BH115" i="1"/>
  <c r="BH116" i="1"/>
  <c r="BH117" i="1"/>
  <c r="BH43" i="1"/>
  <c r="BH118" i="1"/>
  <c r="BH119" i="1"/>
  <c r="BH120" i="1"/>
  <c r="BH121" i="1"/>
  <c r="BH122" i="1"/>
  <c r="BH126" i="1"/>
  <c r="BH72" i="1"/>
  <c r="BH129" i="1"/>
  <c r="BH130" i="1"/>
  <c r="BH131" i="1"/>
  <c r="BH94" i="1"/>
  <c r="BH132" i="1"/>
  <c r="BH133" i="1"/>
  <c r="BH134" i="1"/>
  <c r="BH135" i="1"/>
  <c r="BH136" i="1"/>
  <c r="BH140" i="1"/>
  <c r="BH143" i="1"/>
  <c r="BH144" i="1"/>
  <c r="BH50" i="9"/>
  <c r="BH52" i="9" s="1"/>
  <c r="BI21" i="1"/>
  <c r="BI115" i="1"/>
  <c r="BI116" i="1"/>
  <c r="BI117" i="1"/>
  <c r="BI43" i="1"/>
  <c r="BI118" i="1"/>
  <c r="BI119" i="1"/>
  <c r="BI120" i="1"/>
  <c r="BI121" i="1"/>
  <c r="BI122" i="1"/>
  <c r="BI126" i="1"/>
  <c r="BI72" i="1"/>
  <c r="BI129" i="1"/>
  <c r="BI130" i="1"/>
  <c r="BI131" i="1"/>
  <c r="BI94" i="1"/>
  <c r="BI132" i="1"/>
  <c r="BI133" i="1"/>
  <c r="BI134" i="1"/>
  <c r="BI135" i="1"/>
  <c r="BI136" i="1"/>
  <c r="BI140" i="1"/>
  <c r="BI143" i="1"/>
  <c r="BI144" i="1"/>
  <c r="BI50" i="9"/>
  <c r="BI52" i="9" s="1"/>
  <c r="BJ21" i="1"/>
  <c r="BJ115" i="1"/>
  <c r="BJ116" i="1"/>
  <c r="BJ117" i="1"/>
  <c r="BJ43" i="1"/>
  <c r="BJ118" i="1"/>
  <c r="BJ119" i="1"/>
  <c r="BJ120" i="1"/>
  <c r="BJ121" i="1"/>
  <c r="BJ122" i="1"/>
  <c r="BJ126" i="1"/>
  <c r="BJ72" i="1"/>
  <c r="BJ129" i="1"/>
  <c r="BJ130" i="1"/>
  <c r="BJ131" i="1"/>
  <c r="BJ94" i="1"/>
  <c r="BJ132" i="1"/>
  <c r="BJ133" i="1"/>
  <c r="BJ134" i="1"/>
  <c r="BJ135" i="1"/>
  <c r="BJ136" i="1"/>
  <c r="BJ140" i="1"/>
  <c r="BJ143" i="1"/>
  <c r="BJ144" i="1"/>
  <c r="BJ50" i="9"/>
  <c r="BJ52" i="9" s="1"/>
  <c r="BK21" i="1"/>
  <c r="BK115" i="1"/>
  <c r="BK116" i="1"/>
  <c r="BK117" i="1"/>
  <c r="BK43" i="1"/>
  <c r="BK118" i="1"/>
  <c r="BK119" i="1"/>
  <c r="BK120" i="1"/>
  <c r="BK121" i="1"/>
  <c r="BK122" i="1"/>
  <c r="BK126" i="1"/>
  <c r="BK72" i="1"/>
  <c r="BK129" i="1"/>
  <c r="BK130" i="1"/>
  <c r="BK131" i="1"/>
  <c r="BK94" i="1"/>
  <c r="BK132" i="1"/>
  <c r="BK133" i="1"/>
  <c r="BK134" i="1"/>
  <c r="BK135" i="1"/>
  <c r="BK136" i="1"/>
  <c r="BK140" i="1"/>
  <c r="BK143" i="1"/>
  <c r="BK144" i="1"/>
  <c r="BK50" i="9"/>
  <c r="BK52" i="9" s="1"/>
  <c r="BL21" i="1"/>
  <c r="BL115" i="1"/>
  <c r="BL116" i="1"/>
  <c r="BL117" i="1"/>
  <c r="BL43" i="1"/>
  <c r="BL118" i="1"/>
  <c r="BL119" i="1"/>
  <c r="BL120" i="1"/>
  <c r="BL121" i="1"/>
  <c r="BL122" i="1"/>
  <c r="BL126" i="1"/>
  <c r="BL72" i="1"/>
  <c r="BL129" i="1"/>
  <c r="BL130" i="1"/>
  <c r="BL131" i="1"/>
  <c r="BL94" i="1"/>
  <c r="BL132" i="1"/>
  <c r="BL133" i="1"/>
  <c r="BL134" i="1"/>
  <c r="BL135" i="1"/>
  <c r="BL136" i="1"/>
  <c r="BL140" i="1"/>
  <c r="BL143" i="1"/>
  <c r="BL144" i="1"/>
  <c r="BL50" i="9"/>
  <c r="BL52" i="9"/>
  <c r="BM21" i="1"/>
  <c r="BM115" i="1"/>
  <c r="BM116" i="1"/>
  <c r="BM117" i="1"/>
  <c r="BM43" i="1"/>
  <c r="BM118" i="1"/>
  <c r="BM119" i="1"/>
  <c r="BM120" i="1"/>
  <c r="BM121" i="1"/>
  <c r="BM122" i="1"/>
  <c r="BM126" i="1"/>
  <c r="BM72" i="1"/>
  <c r="BM129" i="1"/>
  <c r="BM130" i="1"/>
  <c r="BM131" i="1"/>
  <c r="BM94" i="1"/>
  <c r="BM132" i="1"/>
  <c r="BM133" i="1"/>
  <c r="BM134" i="1"/>
  <c r="BM135" i="1"/>
  <c r="BM136" i="1"/>
  <c r="BM140" i="1"/>
  <c r="BM143" i="1"/>
  <c r="BM144" i="1"/>
  <c r="BM50" i="9"/>
  <c r="BM52" i="9" s="1"/>
  <c r="BN21" i="1"/>
  <c r="BN115" i="1"/>
  <c r="BN116" i="1"/>
  <c r="BN117" i="1"/>
  <c r="BN43" i="1"/>
  <c r="BN118" i="1"/>
  <c r="BN119" i="1"/>
  <c r="BN120" i="1"/>
  <c r="BN121" i="1"/>
  <c r="BN122" i="1"/>
  <c r="BN126" i="1"/>
  <c r="BN72" i="1"/>
  <c r="BN129" i="1"/>
  <c r="BN130" i="1"/>
  <c r="BN131" i="1"/>
  <c r="BN94" i="1"/>
  <c r="BN132" i="1"/>
  <c r="BN133" i="1"/>
  <c r="BN134" i="1"/>
  <c r="BN135" i="1"/>
  <c r="BN136" i="1"/>
  <c r="BN140" i="1"/>
  <c r="BN143" i="1"/>
  <c r="BN144" i="1"/>
  <c r="BN50" i="9"/>
  <c r="BN52" i="9" s="1"/>
  <c r="BO21" i="1"/>
  <c r="BO115" i="1"/>
  <c r="BO116" i="1"/>
  <c r="BO117" i="1"/>
  <c r="BO43" i="1"/>
  <c r="BO118" i="1"/>
  <c r="BO119" i="1"/>
  <c r="BO120" i="1"/>
  <c r="BO121" i="1"/>
  <c r="BO122" i="1"/>
  <c r="BO126" i="1"/>
  <c r="BO72" i="1"/>
  <c r="BO129" i="1"/>
  <c r="BO130" i="1"/>
  <c r="BO131" i="1"/>
  <c r="BO94" i="1"/>
  <c r="BO132" i="1"/>
  <c r="BO133" i="1"/>
  <c r="BO134" i="1"/>
  <c r="BO135" i="1"/>
  <c r="BO136" i="1"/>
  <c r="BO140" i="1"/>
  <c r="BO143" i="1"/>
  <c r="BO144" i="1"/>
  <c r="BO50" i="9"/>
  <c r="BO52" i="9" s="1"/>
  <c r="BP21" i="1"/>
  <c r="BP115" i="1"/>
  <c r="BP116" i="1"/>
  <c r="BP117" i="1"/>
  <c r="BP43" i="1"/>
  <c r="BP118" i="1"/>
  <c r="BP119" i="1"/>
  <c r="BP120" i="1"/>
  <c r="BP121" i="1"/>
  <c r="BP122" i="1"/>
  <c r="BP126" i="1"/>
  <c r="BP72" i="1"/>
  <c r="BP129" i="1"/>
  <c r="BP130" i="1"/>
  <c r="BP131" i="1"/>
  <c r="BP94" i="1"/>
  <c r="BP132" i="1"/>
  <c r="BP133" i="1"/>
  <c r="BP134" i="1"/>
  <c r="BP135" i="1"/>
  <c r="BP136" i="1"/>
  <c r="BP140" i="1"/>
  <c r="BP143" i="1"/>
  <c r="BP144" i="1"/>
  <c r="BP50" i="9"/>
  <c r="BP52" i="9" s="1"/>
  <c r="BQ21" i="1"/>
  <c r="BQ115" i="1"/>
  <c r="BQ116" i="1"/>
  <c r="BQ117" i="1"/>
  <c r="BQ43" i="1"/>
  <c r="BQ118" i="1"/>
  <c r="BQ119" i="1"/>
  <c r="BQ120" i="1"/>
  <c r="BQ121" i="1"/>
  <c r="BQ122" i="1"/>
  <c r="BQ126" i="1"/>
  <c r="BQ72" i="1"/>
  <c r="BQ129" i="1"/>
  <c r="BQ130" i="1"/>
  <c r="BQ131" i="1"/>
  <c r="BQ94" i="1"/>
  <c r="BQ132" i="1"/>
  <c r="BQ133" i="1"/>
  <c r="BQ134" i="1"/>
  <c r="BQ135" i="1"/>
  <c r="BQ136" i="1"/>
  <c r="BQ140" i="1"/>
  <c r="BQ143" i="1"/>
  <c r="BQ144" i="1"/>
  <c r="BQ50" i="9"/>
  <c r="BQ52" i="9" s="1"/>
  <c r="BR21" i="1"/>
  <c r="BR115" i="1"/>
  <c r="BR116" i="1"/>
  <c r="BR117" i="1"/>
  <c r="BR43" i="1"/>
  <c r="BR118" i="1"/>
  <c r="BR119" i="1"/>
  <c r="BR120" i="1"/>
  <c r="BR121" i="1"/>
  <c r="BR122" i="1"/>
  <c r="BR126" i="1"/>
  <c r="BR72" i="1"/>
  <c r="BR129" i="1"/>
  <c r="BR130" i="1"/>
  <c r="BR131" i="1"/>
  <c r="BR94" i="1"/>
  <c r="BR132" i="1"/>
  <c r="BR133" i="1"/>
  <c r="BR134" i="1"/>
  <c r="BR135" i="1"/>
  <c r="BR136" i="1"/>
  <c r="BR140" i="1"/>
  <c r="BR143" i="1"/>
  <c r="BR144" i="1"/>
  <c r="BR50" i="9"/>
  <c r="BR52" i="9" s="1"/>
  <c r="BS21" i="1"/>
  <c r="BS115" i="1"/>
  <c r="BS116" i="1"/>
  <c r="BS117" i="1"/>
  <c r="BS43" i="1"/>
  <c r="BS118" i="1"/>
  <c r="BS119" i="1"/>
  <c r="BS120" i="1"/>
  <c r="BS121" i="1"/>
  <c r="BS122" i="1"/>
  <c r="BS126" i="1"/>
  <c r="BS72" i="1"/>
  <c r="BS129" i="1"/>
  <c r="BS130" i="1"/>
  <c r="BS131" i="1"/>
  <c r="BS94" i="1"/>
  <c r="BS132" i="1"/>
  <c r="BS133" i="1"/>
  <c r="BS134" i="1"/>
  <c r="BS135" i="1"/>
  <c r="BS136" i="1"/>
  <c r="BS140" i="1"/>
  <c r="BS143" i="1"/>
  <c r="BS144" i="1"/>
  <c r="BS50" i="9"/>
  <c r="BS52" i="9" s="1"/>
  <c r="BT21" i="1"/>
  <c r="BT115" i="1"/>
  <c r="BT116" i="1"/>
  <c r="BT117" i="1"/>
  <c r="BT43" i="1"/>
  <c r="BT118" i="1"/>
  <c r="BT119" i="1"/>
  <c r="BT120" i="1"/>
  <c r="BT121" i="1"/>
  <c r="BT122" i="1"/>
  <c r="BT126" i="1"/>
  <c r="BT72" i="1"/>
  <c r="BT129" i="1"/>
  <c r="BT130" i="1"/>
  <c r="BT131" i="1"/>
  <c r="BT94" i="1"/>
  <c r="BT132" i="1"/>
  <c r="BT133" i="1"/>
  <c r="BT134" i="1"/>
  <c r="BT135" i="1"/>
  <c r="BT136" i="1"/>
  <c r="BT140" i="1"/>
  <c r="BT143" i="1"/>
  <c r="BT144" i="1"/>
  <c r="BT50" i="9"/>
  <c r="BT52" i="9" s="1"/>
  <c r="BU21" i="1"/>
  <c r="BU115" i="1"/>
  <c r="BU116" i="1"/>
  <c r="BU117" i="1"/>
  <c r="BU43" i="1"/>
  <c r="BU118" i="1"/>
  <c r="BU119" i="1"/>
  <c r="BU120" i="1"/>
  <c r="BU121" i="1"/>
  <c r="BU122" i="1"/>
  <c r="BU126" i="1"/>
  <c r="BU72" i="1"/>
  <c r="BU129" i="1"/>
  <c r="BU130" i="1"/>
  <c r="BU131" i="1"/>
  <c r="BU94" i="1"/>
  <c r="BU132" i="1"/>
  <c r="BU133" i="1"/>
  <c r="BU134" i="1"/>
  <c r="BU135" i="1"/>
  <c r="BU136" i="1"/>
  <c r="BU140" i="1"/>
  <c r="BU143" i="1"/>
  <c r="BU144" i="1"/>
  <c r="BU50" i="9"/>
  <c r="BU52" i="9" s="1"/>
  <c r="BV21" i="1"/>
  <c r="BV115" i="1"/>
  <c r="BV116" i="1"/>
  <c r="BV117" i="1"/>
  <c r="BV43" i="1"/>
  <c r="BV118" i="1"/>
  <c r="BV119" i="1"/>
  <c r="BV120" i="1"/>
  <c r="BV121" i="1"/>
  <c r="BV122" i="1"/>
  <c r="BV126" i="1"/>
  <c r="BV72" i="1"/>
  <c r="BV129" i="1"/>
  <c r="BV130" i="1"/>
  <c r="BV131" i="1"/>
  <c r="BV94" i="1"/>
  <c r="BV132" i="1"/>
  <c r="BV133" i="1"/>
  <c r="BV134" i="1"/>
  <c r="BV135" i="1"/>
  <c r="BV136" i="1"/>
  <c r="BV140" i="1"/>
  <c r="BV143" i="1"/>
  <c r="BV144" i="1"/>
  <c r="BV50" i="9"/>
  <c r="BV52" i="9" s="1"/>
  <c r="BW21" i="1"/>
  <c r="BW115" i="1"/>
  <c r="BW116" i="1"/>
  <c r="BW117" i="1"/>
  <c r="BW43" i="1"/>
  <c r="BW118" i="1"/>
  <c r="BW119" i="1"/>
  <c r="BW120" i="1"/>
  <c r="BW121" i="1"/>
  <c r="BW122" i="1"/>
  <c r="BW126" i="1"/>
  <c r="BW72" i="1"/>
  <c r="BW129" i="1"/>
  <c r="BW130" i="1"/>
  <c r="BW131" i="1"/>
  <c r="BW94" i="1"/>
  <c r="BW132" i="1"/>
  <c r="BW133" i="1"/>
  <c r="BW134" i="1"/>
  <c r="BW135" i="1"/>
  <c r="BW136" i="1"/>
  <c r="BW140" i="1"/>
  <c r="BW143" i="1"/>
  <c r="BW144" i="1"/>
  <c r="BW50" i="9"/>
  <c r="BW52" i="9" s="1"/>
  <c r="BX21" i="1"/>
  <c r="BX115" i="1"/>
  <c r="BX116" i="1"/>
  <c r="BX117" i="1"/>
  <c r="BX43" i="1"/>
  <c r="BX118" i="1"/>
  <c r="BX119" i="1"/>
  <c r="BX120" i="1"/>
  <c r="BX121" i="1"/>
  <c r="BX122" i="1"/>
  <c r="BX126" i="1"/>
  <c r="BX72" i="1"/>
  <c r="BX129" i="1"/>
  <c r="BX130" i="1"/>
  <c r="BX131" i="1"/>
  <c r="BX94" i="1"/>
  <c r="BX132" i="1"/>
  <c r="BX133" i="1"/>
  <c r="BX134" i="1"/>
  <c r="BX135" i="1"/>
  <c r="BX136" i="1"/>
  <c r="BX140" i="1"/>
  <c r="BX143" i="1"/>
  <c r="BX144" i="1"/>
  <c r="BX50" i="9"/>
  <c r="BX52" i="9" s="1"/>
  <c r="BY21" i="1"/>
  <c r="BY115" i="1"/>
  <c r="BY116" i="1"/>
  <c r="BY117" i="1"/>
  <c r="BY43" i="1"/>
  <c r="BY118" i="1"/>
  <c r="BY119" i="1"/>
  <c r="BY120" i="1"/>
  <c r="BY121" i="1"/>
  <c r="BY122" i="1"/>
  <c r="BY126" i="1"/>
  <c r="BY72" i="1"/>
  <c r="BY129" i="1"/>
  <c r="BY130" i="1"/>
  <c r="BY131" i="1"/>
  <c r="BY94" i="1"/>
  <c r="BY132" i="1"/>
  <c r="BY133" i="1"/>
  <c r="BY134" i="1"/>
  <c r="BY135" i="1"/>
  <c r="BY136" i="1"/>
  <c r="BY140" i="1"/>
  <c r="BY143" i="1"/>
  <c r="BY144" i="1"/>
  <c r="BY50" i="9"/>
  <c r="BY52" i="9" s="1"/>
  <c r="BZ21" i="1"/>
  <c r="BZ115" i="1"/>
  <c r="BZ116" i="1"/>
  <c r="BZ117" i="1"/>
  <c r="BZ43" i="1"/>
  <c r="BZ118" i="1"/>
  <c r="BZ119" i="1"/>
  <c r="BZ120" i="1"/>
  <c r="BZ121" i="1"/>
  <c r="BZ122" i="1"/>
  <c r="BZ126" i="1"/>
  <c r="BZ72" i="1"/>
  <c r="BZ129" i="1"/>
  <c r="BZ130" i="1"/>
  <c r="BZ131" i="1"/>
  <c r="BZ94" i="1"/>
  <c r="BZ132" i="1"/>
  <c r="BZ133" i="1"/>
  <c r="BZ134" i="1"/>
  <c r="BZ135" i="1"/>
  <c r="BZ136" i="1"/>
  <c r="BZ140" i="1"/>
  <c r="BZ143" i="1"/>
  <c r="BZ144" i="1"/>
  <c r="BZ50" i="9"/>
  <c r="BZ52" i="9" s="1"/>
  <c r="CA21" i="1"/>
  <c r="CA115" i="1"/>
  <c r="CA116" i="1"/>
  <c r="CA117" i="1"/>
  <c r="CA43" i="1"/>
  <c r="CA118" i="1"/>
  <c r="CA119" i="1"/>
  <c r="CA120" i="1"/>
  <c r="CA121" i="1"/>
  <c r="CA122" i="1"/>
  <c r="CA126" i="1"/>
  <c r="CA72" i="1"/>
  <c r="CA129" i="1"/>
  <c r="CA130" i="1"/>
  <c r="CA131" i="1"/>
  <c r="CA94" i="1"/>
  <c r="CA132" i="1"/>
  <c r="CA133" i="1"/>
  <c r="CA134" i="1"/>
  <c r="CA135" i="1"/>
  <c r="CA136" i="1"/>
  <c r="CA140" i="1"/>
  <c r="CA143" i="1"/>
  <c r="CA144" i="1"/>
  <c r="CA50" i="9"/>
  <c r="CA52" i="9" s="1"/>
  <c r="CB21" i="1"/>
  <c r="CB115" i="1"/>
  <c r="CB116" i="1"/>
  <c r="CB117" i="1"/>
  <c r="CB43" i="1"/>
  <c r="CB118" i="1"/>
  <c r="CB119" i="1"/>
  <c r="CB120" i="1"/>
  <c r="CB121" i="1"/>
  <c r="CB122" i="1"/>
  <c r="CB126" i="1"/>
  <c r="CB72" i="1"/>
  <c r="CB129" i="1"/>
  <c r="CB130" i="1"/>
  <c r="CB131" i="1"/>
  <c r="CB94" i="1"/>
  <c r="CB132" i="1"/>
  <c r="CB133" i="1"/>
  <c r="CB134" i="1"/>
  <c r="CB135" i="1"/>
  <c r="CB136" i="1"/>
  <c r="CB140" i="1"/>
  <c r="CB143" i="1"/>
  <c r="CB144" i="1"/>
  <c r="CB50" i="9"/>
  <c r="CB52" i="9" s="1"/>
  <c r="C42" i="17"/>
  <c r="C41" i="17"/>
  <c r="C31" i="17"/>
  <c r="C21" i="17"/>
  <c r="C15" i="17"/>
  <c r="C16" i="17"/>
  <c r="C18" i="17"/>
  <c r="C19" i="17"/>
  <c r="C20" i="17"/>
  <c r="C13" i="17"/>
  <c r="C43" i="11"/>
  <c r="C44" i="16"/>
  <c r="C12" i="11"/>
  <c r="C13" i="16" s="1"/>
  <c r="C32" i="11"/>
  <c r="C33" i="16" s="1"/>
  <c r="C21" i="11"/>
  <c r="C22" i="16"/>
  <c r="D12" i="11"/>
  <c r="D33" i="11" s="1"/>
  <c r="E12" i="11"/>
  <c r="E22" i="11" s="1"/>
  <c r="F12" i="11"/>
  <c r="F44" i="11" s="1"/>
  <c r="G12" i="11"/>
  <c r="G44" i="11" s="1"/>
  <c r="H12" i="11"/>
  <c r="H44" i="11" s="1"/>
  <c r="I12" i="11"/>
  <c r="I33" i="11" s="1"/>
  <c r="J12" i="11"/>
  <c r="K12" i="11"/>
  <c r="K44" i="11" s="1"/>
  <c r="L12" i="11"/>
  <c r="L33" i="11" s="1"/>
  <c r="M12" i="11"/>
  <c r="N12" i="11"/>
  <c r="N44" i="11" s="1"/>
  <c r="O12" i="11"/>
  <c r="O22" i="11" s="1"/>
  <c r="P12" i="11"/>
  <c r="P44" i="11" s="1"/>
  <c r="Q12" i="11"/>
  <c r="R12" i="11"/>
  <c r="R44" i="11" s="1"/>
  <c r="S12" i="11"/>
  <c r="S22" i="11" s="1"/>
  <c r="T12" i="11"/>
  <c r="T22" i="11" s="1"/>
  <c r="U12" i="11"/>
  <c r="U33" i="11" s="1"/>
  <c r="V12" i="11"/>
  <c r="V22" i="11" s="1"/>
  <c r="W12" i="11"/>
  <c r="X12" i="11"/>
  <c r="X33" i="11" s="1"/>
  <c r="Y12" i="11"/>
  <c r="Y33" i="11" s="1"/>
  <c r="Z12" i="11"/>
  <c r="Z44" i="11" s="1"/>
  <c r="AA12" i="11"/>
  <c r="AB12" i="11"/>
  <c r="AB22" i="11" s="1"/>
  <c r="AC12" i="11"/>
  <c r="AC44" i="11" s="1"/>
  <c r="AD12" i="11"/>
  <c r="AE12" i="11"/>
  <c r="AF12" i="11"/>
  <c r="AF33" i="11" s="1"/>
  <c r="AG12" i="11"/>
  <c r="AH12" i="11"/>
  <c r="AH44" i="11" s="1"/>
  <c r="AI12" i="11"/>
  <c r="AI33" i="11" s="1"/>
  <c r="AJ12" i="11"/>
  <c r="AK12" i="11"/>
  <c r="AK22" i="11" s="1"/>
  <c r="AL12" i="11"/>
  <c r="AL22" i="11" s="1"/>
  <c r="AM12" i="11"/>
  <c r="AN12" i="11"/>
  <c r="AN33" i="11" s="1"/>
  <c r="AO12" i="11"/>
  <c r="AO33" i="11" s="1"/>
  <c r="AP12" i="11"/>
  <c r="AP44" i="11" s="1"/>
  <c r="AQ12" i="11"/>
  <c r="AR12" i="11"/>
  <c r="AR22" i="11" s="1"/>
  <c r="AS12" i="11"/>
  <c r="AS33" i="11" s="1"/>
  <c r="AT12" i="11"/>
  <c r="AT22" i="11" s="1"/>
  <c r="AU12" i="11"/>
  <c r="AV12" i="11"/>
  <c r="AV22" i="11" s="1"/>
  <c r="AW12" i="11"/>
  <c r="AW33" i="11" s="1"/>
  <c r="AX12" i="11"/>
  <c r="AY12" i="11"/>
  <c r="AY33" i="11" s="1"/>
  <c r="AZ12" i="11"/>
  <c r="AZ22" i="11" s="1"/>
  <c r="BA12" i="11"/>
  <c r="BA33" i="11" s="1"/>
  <c r="BB12" i="11"/>
  <c r="BB22" i="11" s="1"/>
  <c r="BC12" i="11"/>
  <c r="BC33" i="11" s="1"/>
  <c r="BD12" i="11"/>
  <c r="BD33" i="11" s="1"/>
  <c r="BE12" i="11"/>
  <c r="BE44" i="11" s="1"/>
  <c r="BF12" i="11"/>
  <c r="BG12" i="11"/>
  <c r="BG33" i="11" s="1"/>
  <c r="BH12" i="11"/>
  <c r="BH44" i="11" s="1"/>
  <c r="BI12" i="11"/>
  <c r="BI33" i="11" s="1"/>
  <c r="BJ12" i="11"/>
  <c r="BJ22" i="11" s="1"/>
  <c r="BK12" i="11"/>
  <c r="BL12" i="11"/>
  <c r="BL33" i="11" s="1"/>
  <c r="BM12" i="11"/>
  <c r="BM33" i="11" s="1"/>
  <c r="BN12" i="11"/>
  <c r="BO12" i="11"/>
  <c r="BO22" i="11" s="1"/>
  <c r="BP12" i="11"/>
  <c r="BP22" i="11" s="1"/>
  <c r="BQ12" i="11"/>
  <c r="BQ33" i="11" s="1"/>
  <c r="BR12" i="11"/>
  <c r="BR44" i="11" s="1"/>
  <c r="BS12" i="11"/>
  <c r="BS33" i="11" s="1"/>
  <c r="BT12" i="11"/>
  <c r="BT33" i="11" s="1"/>
  <c r="BU12" i="11"/>
  <c r="BV12" i="11"/>
  <c r="BW12" i="11"/>
  <c r="BW22" i="11" s="1"/>
  <c r="BX12" i="11"/>
  <c r="BX22" i="11" s="1"/>
  <c r="BY12" i="11"/>
  <c r="BY33" i="11" s="1"/>
  <c r="BZ12" i="11"/>
  <c r="BZ44" i="11" s="1"/>
  <c r="CA12" i="11"/>
  <c r="CA44" i="11" s="1"/>
  <c r="CA33" i="11"/>
  <c r="CB12" i="11"/>
  <c r="C42" i="16"/>
  <c r="C41" i="16"/>
  <c r="C31" i="16"/>
  <c r="C30" i="16"/>
  <c r="C20" i="16"/>
  <c r="D9" i="16"/>
  <c r="D12" i="10"/>
  <c r="D20" i="10" s="1"/>
  <c r="D22" i="10" s="1"/>
  <c r="D39" i="10"/>
  <c r="D62" i="10"/>
  <c r="D64" i="10" s="1"/>
  <c r="E12" i="10"/>
  <c r="E39" i="10"/>
  <c r="E62" i="10"/>
  <c r="E64" i="10" s="1"/>
  <c r="F12" i="10"/>
  <c r="F20" i="10" s="1"/>
  <c r="F22" i="10" s="1"/>
  <c r="F39" i="10"/>
  <c r="F62" i="10"/>
  <c r="F64" i="10" s="1"/>
  <c r="G12" i="10"/>
  <c r="G20" i="10" s="1"/>
  <c r="G22" i="10" s="1"/>
  <c r="G24" i="10" s="1"/>
  <c r="G39" i="10"/>
  <c r="G62" i="10"/>
  <c r="G64" i="10" s="1"/>
  <c r="H12" i="10"/>
  <c r="H20" i="10" s="1"/>
  <c r="H22" i="10" s="1"/>
  <c r="H39" i="10"/>
  <c r="H62" i="10"/>
  <c r="H64" i="10" s="1"/>
  <c r="I12" i="10"/>
  <c r="I46" i="10" s="1"/>
  <c r="I48" i="10" s="1"/>
  <c r="I50" i="10" s="1"/>
  <c r="I39" i="10"/>
  <c r="I62" i="10"/>
  <c r="I64" i="10" s="1"/>
  <c r="J12" i="10"/>
  <c r="J29" i="10" s="1"/>
  <c r="J31" i="10" s="1"/>
  <c r="J33" i="10" s="1"/>
  <c r="J39" i="10"/>
  <c r="J62" i="10"/>
  <c r="J64" i="10" s="1"/>
  <c r="K12" i="10"/>
  <c r="K41" i="10" s="1"/>
  <c r="K39" i="10"/>
  <c r="K62" i="10"/>
  <c r="K64" i="10" s="1"/>
  <c r="L12" i="10"/>
  <c r="L20" i="10" s="1"/>
  <c r="L22" i="10" s="1"/>
  <c r="L39" i="10"/>
  <c r="L62" i="10"/>
  <c r="L64" i="10" s="1"/>
  <c r="M12" i="10"/>
  <c r="M39" i="10"/>
  <c r="M62" i="10"/>
  <c r="M64" i="10" s="1"/>
  <c r="N12" i="10"/>
  <c r="N46" i="10" s="1"/>
  <c r="N48" i="10" s="1"/>
  <c r="N50" i="10" s="1"/>
  <c r="N39" i="10"/>
  <c r="N62" i="10"/>
  <c r="N64" i="10" s="1"/>
  <c r="O12" i="10"/>
  <c r="O56" i="10" s="1"/>
  <c r="O39" i="10"/>
  <c r="O62" i="10"/>
  <c r="O64" i="10" s="1"/>
  <c r="P12" i="10"/>
  <c r="P20" i="10" s="1"/>
  <c r="P22" i="10" s="1"/>
  <c r="P39" i="10"/>
  <c r="P62" i="10"/>
  <c r="P64" i="10" s="1"/>
  <c r="Q12" i="10"/>
  <c r="Q29" i="10" s="1"/>
  <c r="Q31" i="10" s="1"/>
  <c r="Q33" i="10" s="1"/>
  <c r="Q39" i="10"/>
  <c r="Q62" i="10"/>
  <c r="Q64" i="10" s="1"/>
  <c r="R12" i="10"/>
  <c r="R29" i="10" s="1"/>
  <c r="R31" i="10" s="1"/>
  <c r="R33" i="10" s="1"/>
  <c r="R39" i="10"/>
  <c r="R62" i="10"/>
  <c r="R64" i="10" s="1"/>
  <c r="S12" i="10"/>
  <c r="S41" i="10" s="1"/>
  <c r="S39" i="10"/>
  <c r="S62" i="10"/>
  <c r="S64" i="10" s="1"/>
  <c r="T12" i="10"/>
  <c r="T29" i="10" s="1"/>
  <c r="T31" i="10" s="1"/>
  <c r="T33" i="10" s="1"/>
  <c r="T39" i="10"/>
  <c r="T62" i="10"/>
  <c r="T64" i="10" s="1"/>
  <c r="U12" i="10"/>
  <c r="U41" i="10" s="1"/>
  <c r="U39" i="10"/>
  <c r="U62" i="10"/>
  <c r="U64" i="10" s="1"/>
  <c r="V12" i="10"/>
  <c r="V41" i="10" s="1"/>
  <c r="V39" i="10"/>
  <c r="V62" i="10"/>
  <c r="V64" i="10" s="1"/>
  <c r="W12" i="10"/>
  <c r="W46" i="10" s="1"/>
  <c r="W48" i="10" s="1"/>
  <c r="W50" i="10" s="1"/>
  <c r="W39" i="10"/>
  <c r="W62" i="10"/>
  <c r="W64" i="10" s="1"/>
  <c r="X12" i="10"/>
  <c r="X46" i="10" s="1"/>
  <c r="X48" i="10" s="1"/>
  <c r="X50" i="10" s="1"/>
  <c r="X39" i="10"/>
  <c r="X62" i="10"/>
  <c r="X64" i="10" s="1"/>
  <c r="Y12" i="10"/>
  <c r="Y39" i="10"/>
  <c r="Y62" i="10"/>
  <c r="Y64" i="10" s="1"/>
  <c r="Z12" i="10"/>
  <c r="Z41" i="10" s="1"/>
  <c r="Z39" i="10"/>
  <c r="Z62" i="10"/>
  <c r="Z64" i="10" s="1"/>
  <c r="AA12" i="10"/>
  <c r="AA41" i="10" s="1"/>
  <c r="AA39" i="10"/>
  <c r="AA62" i="10"/>
  <c r="AA64" i="10" s="1"/>
  <c r="AB12" i="10"/>
  <c r="AB56" i="10" s="1"/>
  <c r="AB39" i="10"/>
  <c r="AB62" i="10"/>
  <c r="AB64" i="10" s="1"/>
  <c r="AC12" i="10"/>
  <c r="AC41" i="10" s="1"/>
  <c r="AC39" i="10"/>
  <c r="AC62" i="10"/>
  <c r="AC64" i="10" s="1"/>
  <c r="AD12" i="10"/>
  <c r="AD41" i="10" s="1"/>
  <c r="AD39" i="10"/>
  <c r="AD62" i="10"/>
  <c r="AD64" i="10" s="1"/>
  <c r="AE12" i="10"/>
  <c r="AE56" i="10" s="1"/>
  <c r="AE39" i="10"/>
  <c r="AE62" i="10"/>
  <c r="AE64" i="10" s="1"/>
  <c r="AF12" i="10"/>
  <c r="AF39" i="10"/>
  <c r="AF62" i="10"/>
  <c r="AF64" i="10" s="1"/>
  <c r="AG12" i="10"/>
  <c r="AG41" i="10" s="1"/>
  <c r="AG39" i="10"/>
  <c r="AG62" i="10"/>
  <c r="AG64" i="10" s="1"/>
  <c r="AH12" i="10"/>
  <c r="AH41" i="10" s="1"/>
  <c r="AH39" i="10"/>
  <c r="AH62" i="10"/>
  <c r="AH64" i="10" s="1"/>
  <c r="AI12" i="10"/>
  <c r="AI20" i="10" s="1"/>
  <c r="AI22" i="10" s="1"/>
  <c r="AI24" i="10" s="1"/>
  <c r="AI39" i="10"/>
  <c r="AI62" i="10"/>
  <c r="AI64" i="10" s="1"/>
  <c r="AJ12" i="10"/>
  <c r="AJ29" i="10" s="1"/>
  <c r="AJ31" i="10" s="1"/>
  <c r="AJ33" i="10" s="1"/>
  <c r="AJ39" i="10"/>
  <c r="AJ62" i="10"/>
  <c r="AJ64" i="10" s="1"/>
  <c r="AK12" i="10"/>
  <c r="AK41" i="10" s="1"/>
  <c r="AK39" i="10"/>
  <c r="AK62" i="10"/>
  <c r="AK64" i="10" s="1"/>
  <c r="AL12" i="10"/>
  <c r="AL39" i="10"/>
  <c r="AL62" i="10"/>
  <c r="AL64" i="10" s="1"/>
  <c r="AM12" i="10"/>
  <c r="AM46" i="10" s="1"/>
  <c r="AM48" i="10" s="1"/>
  <c r="AM50" i="10" s="1"/>
  <c r="AM39" i="10"/>
  <c r="AM62" i="10"/>
  <c r="AM64" i="10"/>
  <c r="AN12" i="10"/>
  <c r="AN41" i="10" s="1"/>
  <c r="AN39" i="10"/>
  <c r="AN62" i="10"/>
  <c r="AN64" i="10" s="1"/>
  <c r="AO12" i="10"/>
  <c r="AO41" i="10" s="1"/>
  <c r="AO39" i="10"/>
  <c r="AO62" i="10"/>
  <c r="AO64" i="10" s="1"/>
  <c r="AP12" i="10"/>
  <c r="AP20" i="10" s="1"/>
  <c r="AP22" i="10" s="1"/>
  <c r="AP39" i="10"/>
  <c r="AP62" i="10"/>
  <c r="AP64" i="10" s="1"/>
  <c r="AQ12" i="10"/>
  <c r="AQ29" i="10" s="1"/>
  <c r="AQ31" i="10" s="1"/>
  <c r="AQ33" i="10" s="1"/>
  <c r="AQ39" i="10"/>
  <c r="AQ62" i="10"/>
  <c r="AQ64" i="10" s="1"/>
  <c r="AR12" i="10"/>
  <c r="AR29" i="10" s="1"/>
  <c r="AR31" i="10" s="1"/>
  <c r="AR33" i="10" s="1"/>
  <c r="AR39" i="10"/>
  <c r="AR62" i="10"/>
  <c r="AR64" i="10" s="1"/>
  <c r="AS12" i="10"/>
  <c r="AS39" i="10"/>
  <c r="AS62" i="10"/>
  <c r="AS64" i="10" s="1"/>
  <c r="AT12" i="10"/>
  <c r="AT39" i="10"/>
  <c r="AT62" i="10"/>
  <c r="AT64" i="10" s="1"/>
  <c r="AU12" i="10"/>
  <c r="AU20" i="10" s="1"/>
  <c r="AU22" i="10" s="1"/>
  <c r="AU39" i="10"/>
  <c r="AU62" i="10"/>
  <c r="AU64" i="10" s="1"/>
  <c r="AV12" i="10"/>
  <c r="AV41" i="10" s="1"/>
  <c r="AV39" i="10"/>
  <c r="AV62" i="10"/>
  <c r="AV64" i="10" s="1"/>
  <c r="AW12" i="10"/>
  <c r="AW20" i="10" s="1"/>
  <c r="AW22" i="10" s="1"/>
  <c r="AW39" i="10"/>
  <c r="AW62" i="10"/>
  <c r="AW64" i="10" s="1"/>
  <c r="AX12" i="10"/>
  <c r="AX20" i="10" s="1"/>
  <c r="AX22" i="10" s="1"/>
  <c r="AX39" i="10"/>
  <c r="AX62" i="10"/>
  <c r="AX64" i="10" s="1"/>
  <c r="AY12" i="10"/>
  <c r="AY46" i="10" s="1"/>
  <c r="AY48" i="10" s="1"/>
  <c r="AY50" i="10" s="1"/>
  <c r="AY39" i="10"/>
  <c r="AY62" i="10"/>
  <c r="AY64" i="10" s="1"/>
  <c r="AZ12" i="10"/>
  <c r="AZ29" i="10" s="1"/>
  <c r="AZ31" i="10" s="1"/>
  <c r="AZ33" i="10" s="1"/>
  <c r="AZ39" i="10"/>
  <c r="AZ62" i="10"/>
  <c r="AZ64" i="10" s="1"/>
  <c r="BA12" i="10"/>
  <c r="BA41" i="10" s="1"/>
  <c r="BA39" i="10"/>
  <c r="BA62" i="10"/>
  <c r="BA64" i="10" s="1"/>
  <c r="BB12" i="10"/>
  <c r="BB20" i="10" s="1"/>
  <c r="BB22" i="10" s="1"/>
  <c r="BB39" i="10"/>
  <c r="BB62" i="10"/>
  <c r="BB64" i="10" s="1"/>
  <c r="BC12" i="10"/>
  <c r="BC46" i="10" s="1"/>
  <c r="BC48" i="10" s="1"/>
  <c r="BC50" i="10" s="1"/>
  <c r="BC20" i="10"/>
  <c r="BC22" i="10" s="1"/>
  <c r="BC39" i="10"/>
  <c r="BC62" i="10"/>
  <c r="BC64" i="10" s="1"/>
  <c r="BD12" i="10"/>
  <c r="BD41" i="10" s="1"/>
  <c r="BD39" i="10"/>
  <c r="BD62" i="10"/>
  <c r="BD64" i="10" s="1"/>
  <c r="BE12" i="10"/>
  <c r="BE20" i="10" s="1"/>
  <c r="BE22" i="10" s="1"/>
  <c r="BE39" i="10"/>
  <c r="BE62" i="10"/>
  <c r="BE64" i="10" s="1"/>
  <c r="BF12" i="10"/>
  <c r="BF41" i="10" s="1"/>
  <c r="BF39" i="10"/>
  <c r="BF62" i="10"/>
  <c r="BF64" i="10" s="1"/>
  <c r="BG12" i="10"/>
  <c r="BG46" i="10" s="1"/>
  <c r="BG48" i="10" s="1"/>
  <c r="BG50" i="10" s="1"/>
  <c r="BG39" i="10"/>
  <c r="BG62" i="10"/>
  <c r="BG64" i="10" s="1"/>
  <c r="BH12" i="10"/>
  <c r="BH29" i="10" s="1"/>
  <c r="BH31" i="10" s="1"/>
  <c r="BH33" i="10" s="1"/>
  <c r="BH39" i="10"/>
  <c r="BH62" i="10"/>
  <c r="BH64" i="10" s="1"/>
  <c r="BI12" i="10"/>
  <c r="BI41" i="10" s="1"/>
  <c r="BI39" i="10"/>
  <c r="BI62" i="10"/>
  <c r="BI64" i="10" s="1"/>
  <c r="BJ12" i="10"/>
  <c r="BJ20" i="10" s="1"/>
  <c r="BJ22" i="10" s="1"/>
  <c r="BJ39" i="10"/>
  <c r="BJ62" i="10"/>
  <c r="BJ64" i="10" s="1"/>
  <c r="BK12" i="10"/>
  <c r="BK46" i="10" s="1"/>
  <c r="BK48" i="10" s="1"/>
  <c r="BK50" i="10" s="1"/>
  <c r="BK39" i="10"/>
  <c r="BK41" i="10"/>
  <c r="BK62" i="10"/>
  <c r="BK64" i="10" s="1"/>
  <c r="BL12" i="10"/>
  <c r="BL46" i="10" s="1"/>
  <c r="BL48" i="10" s="1"/>
  <c r="BL50" i="10" s="1"/>
  <c r="BL39" i="10"/>
  <c r="BL62" i="10"/>
  <c r="BL64" i="10" s="1"/>
  <c r="BM12" i="10"/>
  <c r="BM56" i="10" s="1"/>
  <c r="BM39" i="10"/>
  <c r="BM62" i="10"/>
  <c r="BM64" i="10" s="1"/>
  <c r="BN12" i="10"/>
  <c r="BN39" i="10"/>
  <c r="BN62" i="10"/>
  <c r="BN64" i="10" s="1"/>
  <c r="BO12" i="10"/>
  <c r="BO29" i="10" s="1"/>
  <c r="BO31" i="10" s="1"/>
  <c r="BO33" i="10" s="1"/>
  <c r="BO39" i="10"/>
  <c r="BO62" i="10"/>
  <c r="BO64" i="10" s="1"/>
  <c r="BP12" i="10"/>
  <c r="BP29" i="10" s="1"/>
  <c r="BP31" i="10" s="1"/>
  <c r="BP33" i="10" s="1"/>
  <c r="BP39" i="10"/>
  <c r="BP62" i="10"/>
  <c r="BP64" i="10" s="1"/>
  <c r="BQ12" i="10"/>
  <c r="BQ41" i="10" s="1"/>
  <c r="BQ39" i="10"/>
  <c r="BQ62" i="10"/>
  <c r="BQ64" i="10" s="1"/>
  <c r="BR12" i="10"/>
  <c r="BR20" i="10" s="1"/>
  <c r="BR22" i="10" s="1"/>
  <c r="BR39" i="10"/>
  <c r="BR62" i="10"/>
  <c r="BR64" i="10" s="1"/>
  <c r="BS12" i="10"/>
  <c r="BS20" i="10" s="1"/>
  <c r="BS22" i="10" s="1"/>
  <c r="BS39" i="10"/>
  <c r="BS62" i="10"/>
  <c r="BS64" i="10" s="1"/>
  <c r="BT12" i="10"/>
  <c r="BT41" i="10" s="1"/>
  <c r="BT39" i="10"/>
  <c r="BT62" i="10"/>
  <c r="BT64" i="10" s="1"/>
  <c r="BU12" i="10"/>
  <c r="BU39" i="10"/>
  <c r="BU62" i="10"/>
  <c r="BU64" i="10" s="1"/>
  <c r="BV12" i="10"/>
  <c r="BV20" i="10" s="1"/>
  <c r="BV22" i="10" s="1"/>
  <c r="BV39" i="10"/>
  <c r="BV62" i="10"/>
  <c r="BV64" i="10" s="1"/>
  <c r="BW12" i="10"/>
  <c r="BW29" i="10" s="1"/>
  <c r="BW31" i="10" s="1"/>
  <c r="BW33" i="10" s="1"/>
  <c r="BW39" i="10"/>
  <c r="BW62" i="10"/>
  <c r="BW64" i="10" s="1"/>
  <c r="BX12" i="10"/>
  <c r="BX29" i="10" s="1"/>
  <c r="BX31" i="10" s="1"/>
  <c r="BX33" i="10" s="1"/>
  <c r="BX39" i="10"/>
  <c r="BX62" i="10"/>
  <c r="BX64" i="10" s="1"/>
  <c r="BY12" i="10"/>
  <c r="BY41" i="10" s="1"/>
  <c r="BY39" i="10"/>
  <c r="BY62" i="10"/>
  <c r="BY64" i="10" s="1"/>
  <c r="BZ12" i="10"/>
  <c r="BZ29" i="10" s="1"/>
  <c r="BZ31" i="10" s="1"/>
  <c r="BZ33" i="10" s="1"/>
  <c r="BZ39" i="10"/>
  <c r="BZ62" i="10"/>
  <c r="BZ64" i="10" s="1"/>
  <c r="CA12" i="10"/>
  <c r="CA41" i="10" s="1"/>
  <c r="CA39" i="10"/>
  <c r="CA62" i="10"/>
  <c r="CA64" i="10" s="1"/>
  <c r="CB12" i="10"/>
  <c r="CB39" i="10"/>
  <c r="CB62" i="10"/>
  <c r="CB64" i="10" s="1"/>
  <c r="C55" i="15"/>
  <c r="C48" i="15"/>
  <c r="C45" i="10"/>
  <c r="C46" i="15"/>
  <c r="C39" i="15"/>
  <c r="C37" i="10"/>
  <c r="C38" i="15"/>
  <c r="C31" i="15"/>
  <c r="C28" i="10"/>
  <c r="C29" i="15"/>
  <c r="C22" i="15"/>
  <c r="C19" i="10"/>
  <c r="C20" i="15"/>
  <c r="C12" i="10"/>
  <c r="C13" i="15" s="1"/>
  <c r="D9" i="15"/>
  <c r="C144" i="13"/>
  <c r="C141" i="13"/>
  <c r="C20" i="13"/>
  <c r="C22" i="13"/>
  <c r="C150" i="13"/>
  <c r="C151" i="1"/>
  <c r="C152" i="13" s="1"/>
  <c r="C14" i="13"/>
  <c r="C15" i="1"/>
  <c r="C16" i="13"/>
  <c r="C16" i="1"/>
  <c r="C17" i="13"/>
  <c r="C18" i="13"/>
  <c r="C24" i="1"/>
  <c r="C25" i="13"/>
  <c r="C25" i="1"/>
  <c r="C26" i="13"/>
  <c r="C27" i="13"/>
  <c r="C29" i="1"/>
  <c r="C30" i="13"/>
  <c r="C30" i="1"/>
  <c r="C31" i="13"/>
  <c r="C31" i="1"/>
  <c r="C32" i="13"/>
  <c r="C33" i="13"/>
  <c r="C37" i="1"/>
  <c r="C38" i="13"/>
  <c r="C38" i="1"/>
  <c r="C39" i="13"/>
  <c r="C40" i="13"/>
  <c r="C42" i="13"/>
  <c r="C44" i="13"/>
  <c r="C46" i="1"/>
  <c r="C47" i="13"/>
  <c r="C47" i="1"/>
  <c r="C48" i="13"/>
  <c r="C49" i="13"/>
  <c r="C51" i="1"/>
  <c r="C52" i="13"/>
  <c r="C52" i="1"/>
  <c r="C53" i="13"/>
  <c r="C54" i="13"/>
  <c r="C56" i="1"/>
  <c r="C57" i="13"/>
  <c r="C57" i="1"/>
  <c r="C58" i="13"/>
  <c r="C59" i="13"/>
  <c r="C65" i="13"/>
  <c r="C66" i="1"/>
  <c r="C67" i="13"/>
  <c r="C67" i="1"/>
  <c r="C68" i="13"/>
  <c r="C69" i="13"/>
  <c r="C71" i="13"/>
  <c r="C73" i="13"/>
  <c r="C75" i="1"/>
  <c r="C76" i="13"/>
  <c r="C76" i="1"/>
  <c r="C77" i="13"/>
  <c r="C78" i="13"/>
  <c r="C80" i="1"/>
  <c r="C81" i="13"/>
  <c r="C81" i="1"/>
  <c r="C82" i="13"/>
  <c r="C82" i="1"/>
  <c r="C83" i="13"/>
  <c r="C84" i="13"/>
  <c r="C87" i="13"/>
  <c r="C88" i="1"/>
  <c r="C89" i="13"/>
  <c r="C89" i="1"/>
  <c r="C90" i="13"/>
  <c r="C91" i="13"/>
  <c r="C93" i="13"/>
  <c r="C95" i="13"/>
  <c r="C97" i="1"/>
  <c r="C98" i="13"/>
  <c r="C98" i="1"/>
  <c r="C99" i="13"/>
  <c r="C100" i="13"/>
  <c r="C102" i="1"/>
  <c r="C103" i="13"/>
  <c r="C103" i="1"/>
  <c r="C104" i="13"/>
  <c r="C105" i="13"/>
  <c r="C107" i="1"/>
  <c r="C108" i="13"/>
  <c r="C108" i="1"/>
  <c r="C109" i="13"/>
  <c r="C110" i="13"/>
  <c r="C116" i="13"/>
  <c r="C117" i="13"/>
  <c r="C118" i="13"/>
  <c r="C119" i="13"/>
  <c r="C120" i="13"/>
  <c r="C121" i="13"/>
  <c r="C122" i="13"/>
  <c r="C123" i="13"/>
  <c r="C125" i="13"/>
  <c r="C127" i="13"/>
  <c r="C130" i="13"/>
  <c r="C131" i="13"/>
  <c r="C132" i="13"/>
  <c r="C133" i="13"/>
  <c r="C134" i="13"/>
  <c r="C135" i="13"/>
  <c r="C136" i="13"/>
  <c r="C137" i="13"/>
  <c r="C139" i="13"/>
  <c r="C145" i="13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T21" i="9"/>
  <c r="AU21" i="9"/>
  <c r="AV21" i="9"/>
  <c r="AW21" i="9"/>
  <c r="AX21" i="9"/>
  <c r="AY21" i="9"/>
  <c r="AZ21" i="9"/>
  <c r="BA21" i="9"/>
  <c r="BB21" i="9"/>
  <c r="BC21" i="9"/>
  <c r="BD21" i="9"/>
  <c r="BE21" i="9"/>
  <c r="BF21" i="9"/>
  <c r="BG21" i="9"/>
  <c r="BH21" i="9"/>
  <c r="BI21" i="9"/>
  <c r="BJ21" i="9"/>
  <c r="BK21" i="9"/>
  <c r="BL21" i="9"/>
  <c r="BM21" i="9"/>
  <c r="BN21" i="9"/>
  <c r="BO21" i="9"/>
  <c r="BP21" i="9"/>
  <c r="BQ21" i="9"/>
  <c r="BR21" i="9"/>
  <c r="BS21" i="9"/>
  <c r="BT21" i="9"/>
  <c r="BU21" i="9"/>
  <c r="BV21" i="9"/>
  <c r="BW21" i="9"/>
  <c r="BX21" i="9"/>
  <c r="BY21" i="9"/>
  <c r="BZ21" i="9"/>
  <c r="CA21" i="9"/>
  <c r="CB21" i="9"/>
  <c r="B12" i="11"/>
  <c r="B12" i="10"/>
  <c r="B12" i="9"/>
  <c r="D18" i="17" l="1"/>
  <c r="D19" i="17"/>
  <c r="D53" i="17"/>
  <c r="D144" i="13"/>
  <c r="D59" i="13"/>
  <c r="D67" i="13"/>
  <c r="D77" i="13"/>
  <c r="D16" i="17"/>
  <c r="D20" i="17"/>
  <c r="D119" i="13"/>
  <c r="D13" i="17"/>
  <c r="D131" i="13"/>
  <c r="D121" i="13"/>
  <c r="D90" i="13"/>
  <c r="D17" i="13"/>
  <c r="D133" i="13"/>
  <c r="D145" i="13"/>
  <c r="D36" i="13"/>
  <c r="D93" i="13"/>
  <c r="D81" i="13"/>
  <c r="D33" i="13"/>
  <c r="D47" i="13"/>
  <c r="D104" i="13"/>
  <c r="D49" i="13"/>
  <c r="D108" i="13"/>
  <c r="D18" i="13"/>
  <c r="D27" i="13"/>
  <c r="D48" i="13"/>
  <c r="D65" i="13"/>
  <c r="D78" i="13"/>
  <c r="D91" i="13"/>
  <c r="D105" i="13"/>
  <c r="D120" i="13"/>
  <c r="D132" i="13"/>
  <c r="D152" i="13"/>
  <c r="D38" i="13"/>
  <c r="D122" i="13"/>
  <c r="D26" i="13"/>
  <c r="D39" i="13"/>
  <c r="D53" i="13"/>
  <c r="D69" i="13"/>
  <c r="D83" i="13"/>
  <c r="D98" i="13"/>
  <c r="D110" i="13"/>
  <c r="D123" i="13"/>
  <c r="D135" i="13"/>
  <c r="D22" i="13"/>
  <c r="D25" i="13"/>
  <c r="D52" i="13"/>
  <c r="D68" i="13"/>
  <c r="D82" i="13"/>
  <c r="D95" i="13"/>
  <c r="D109" i="13"/>
  <c r="D134" i="13"/>
  <c r="D20" i="13"/>
  <c r="D30" i="13"/>
  <c r="D40" i="13"/>
  <c r="D54" i="13"/>
  <c r="D71" i="13"/>
  <c r="D84" i="13"/>
  <c r="D99" i="13"/>
  <c r="D116" i="13"/>
  <c r="D125" i="13"/>
  <c r="D136" i="13"/>
  <c r="D31" i="13"/>
  <c r="D42" i="13"/>
  <c r="D57" i="13"/>
  <c r="D73" i="13"/>
  <c r="D87" i="13"/>
  <c r="D100" i="13"/>
  <c r="D117" i="13"/>
  <c r="D127" i="13"/>
  <c r="D137" i="13"/>
  <c r="D32" i="13"/>
  <c r="D44" i="13"/>
  <c r="D58" i="13"/>
  <c r="D76" i="13"/>
  <c r="D89" i="13"/>
  <c r="D103" i="13"/>
  <c r="D118" i="13"/>
  <c r="D130" i="13"/>
  <c r="D139" i="13"/>
  <c r="D141" i="13"/>
  <c r="C23" i="9"/>
  <c r="BC36" i="9" s="1"/>
  <c r="BC58" i="9" s="1"/>
  <c r="C22" i="17"/>
  <c r="X36" i="9"/>
  <c r="P36" i="9"/>
  <c r="P58" i="9" s="1"/>
  <c r="AU36" i="9"/>
  <c r="AU58" i="9" s="1"/>
  <c r="CB32" i="9"/>
  <c r="AQ42" i="9"/>
  <c r="AQ44" i="9" s="1"/>
  <c r="AQ59" i="9" s="1"/>
  <c r="C42" i="9"/>
  <c r="C43" i="17" s="1"/>
  <c r="BJ36" i="9"/>
  <c r="BB36" i="9"/>
  <c r="BB58" i="9" s="1"/>
  <c r="AT36" i="9"/>
  <c r="AT58" i="9" s="1"/>
  <c r="BG42" i="9"/>
  <c r="D51" i="17"/>
  <c r="X42" i="9"/>
  <c r="X44" i="9" s="1"/>
  <c r="X59" i="9" s="1"/>
  <c r="AY42" i="9"/>
  <c r="AY44" i="9" s="1"/>
  <c r="AY59" i="9" s="1"/>
  <c r="P42" i="9"/>
  <c r="BN42" i="9"/>
  <c r="BN44" i="9" s="1"/>
  <c r="BN59" i="9" s="1"/>
  <c r="BK36" i="9"/>
  <c r="BK58" i="9" s="1"/>
  <c r="BB42" i="9"/>
  <c r="BH32" i="9"/>
  <c r="E32" i="9"/>
  <c r="AT42" i="9"/>
  <c r="AT44" i="9" s="1"/>
  <c r="AT59" i="9" s="1"/>
  <c r="AK42" i="9"/>
  <c r="BT44" i="9"/>
  <c r="BT59" i="9" s="1"/>
  <c r="BR42" i="9"/>
  <c r="BR44" i="9" s="1"/>
  <c r="BR59" i="9" s="1"/>
  <c r="AJ42" i="9"/>
  <c r="AK44" i="11"/>
  <c r="L22" i="11"/>
  <c r="AC33" i="11"/>
  <c r="N22" i="11"/>
  <c r="BR22" i="11"/>
  <c r="AO22" i="11"/>
  <c r="AI44" i="11"/>
  <c r="AY22" i="11"/>
  <c r="AR33" i="11"/>
  <c r="CA22" i="11"/>
  <c r="BT22" i="11"/>
  <c r="BO44" i="11"/>
  <c r="AI22" i="11"/>
  <c r="BL44" i="11"/>
  <c r="BL22" i="11"/>
  <c r="P33" i="11"/>
  <c r="P22" i="11"/>
  <c r="AY56" i="10"/>
  <c r="R20" i="10"/>
  <c r="R22" i="10" s="1"/>
  <c r="R24" i="10" s="1"/>
  <c r="AY41" i="10"/>
  <c r="BP20" i="10"/>
  <c r="BP22" i="10" s="1"/>
  <c r="BP24" i="10" s="1"/>
  <c r="BC41" i="10"/>
  <c r="O29" i="10"/>
  <c r="O31" i="10" s="1"/>
  <c r="O33" i="10" s="1"/>
  <c r="AY29" i="10"/>
  <c r="AY31" i="10" s="1"/>
  <c r="AY33" i="10" s="1"/>
  <c r="U20" i="10"/>
  <c r="U22" i="10" s="1"/>
  <c r="BW20" i="10"/>
  <c r="BW22" i="10" s="1"/>
  <c r="BW24" i="10" s="1"/>
  <c r="O46" i="10"/>
  <c r="O48" i="10" s="1"/>
  <c r="O50" i="10" s="1"/>
  <c r="BX41" i="10"/>
  <c r="BT29" i="10"/>
  <c r="BT31" i="10" s="1"/>
  <c r="BT33" i="10" s="1"/>
  <c r="U46" i="10"/>
  <c r="U48" i="10" s="1"/>
  <c r="U50" i="10" s="1"/>
  <c r="BX20" i="10"/>
  <c r="BX22" i="10" s="1"/>
  <c r="BX24" i="10" s="1"/>
  <c r="BO46" i="10"/>
  <c r="BO48" i="10" s="1"/>
  <c r="BO50" i="10" s="1"/>
  <c r="AD46" i="10"/>
  <c r="AD48" i="10" s="1"/>
  <c r="AD50" i="10" s="1"/>
  <c r="O41" i="10"/>
  <c r="V56" i="10"/>
  <c r="BW46" i="10"/>
  <c r="BW48" i="10" s="1"/>
  <c r="BW50" i="10" s="1"/>
  <c r="O20" i="10"/>
  <c r="O22" i="10" s="1"/>
  <c r="O24" i="10" s="1"/>
  <c r="AE46" i="10"/>
  <c r="AE48" i="10" s="1"/>
  <c r="AE50" i="10" s="1"/>
  <c r="V20" i="10"/>
  <c r="V22" i="10" s="1"/>
  <c r="V24" i="10" s="1"/>
  <c r="BW41" i="10"/>
  <c r="BG41" i="10"/>
  <c r="R46" i="10"/>
  <c r="R48" i="10" s="1"/>
  <c r="R50" i="10" s="1"/>
  <c r="G56" i="10"/>
  <c r="BP41" i="10"/>
  <c r="AN29" i="10"/>
  <c r="AN31" i="10" s="1"/>
  <c r="AN33" i="10" s="1"/>
  <c r="G41" i="10"/>
  <c r="BF20" i="10"/>
  <c r="BF22" i="10" s="1"/>
  <c r="BF24" i="10" s="1"/>
  <c r="AM41" i="10"/>
  <c r="V46" i="10"/>
  <c r="V48" i="10" s="1"/>
  <c r="V50" i="10" s="1"/>
  <c r="F46" i="10"/>
  <c r="F48" i="10" s="1"/>
  <c r="F50" i="10" s="1"/>
  <c r="BZ56" i="10"/>
  <c r="BT20" i="10"/>
  <c r="BT22" i="10" s="1"/>
  <c r="BT24" i="10" s="1"/>
  <c r="AV29" i="10"/>
  <c r="AV31" i="10" s="1"/>
  <c r="AV33" i="10" s="1"/>
  <c r="AN20" i="10"/>
  <c r="AN22" i="10" s="1"/>
  <c r="AN24" i="10" s="1"/>
  <c r="X20" i="10"/>
  <c r="X22" i="10" s="1"/>
  <c r="X24" i="10" s="1"/>
  <c r="Q20" i="10"/>
  <c r="Q22" i="10" s="1"/>
  <c r="Q24" i="10" s="1"/>
  <c r="G46" i="10"/>
  <c r="G48" i="10" s="1"/>
  <c r="G50" i="10" s="1"/>
  <c r="F41" i="10"/>
  <c r="BW33" i="11"/>
  <c r="BA44" i="11"/>
  <c r="AW44" i="11"/>
  <c r="AR44" i="11"/>
  <c r="AC22" i="11"/>
  <c r="X44" i="11"/>
  <c r="BP42" i="9"/>
  <c r="BS32" i="9"/>
  <c r="D13" i="15"/>
  <c r="BV46" i="10"/>
  <c r="BV48" i="10" s="1"/>
  <c r="BV50" i="10" s="1"/>
  <c r="BT56" i="10"/>
  <c r="AW56" i="10"/>
  <c r="AG46" i="10"/>
  <c r="AG48" i="10" s="1"/>
  <c r="AG50" i="10" s="1"/>
  <c r="E44" i="9"/>
  <c r="E59" i="9" s="1"/>
  <c r="AN56" i="10"/>
  <c r="BT46" i="10"/>
  <c r="BT48" i="10" s="1"/>
  <c r="BT50" i="10" s="1"/>
  <c r="AY20" i="10"/>
  <c r="AY22" i="10" s="1"/>
  <c r="AY24" i="10" s="1"/>
  <c r="AW46" i="10"/>
  <c r="AW48" i="10" s="1"/>
  <c r="AW50" i="10" s="1"/>
  <c r="G29" i="10"/>
  <c r="G31" i="10" s="1"/>
  <c r="G33" i="10" s="1"/>
  <c r="BD22" i="11"/>
  <c r="AY44" i="11"/>
  <c r="AF22" i="11"/>
  <c r="BV29" i="10"/>
  <c r="BV31" i="10" s="1"/>
  <c r="BV33" i="10" s="1"/>
  <c r="BB56" i="10"/>
  <c r="AR41" i="10"/>
  <c r="AN46" i="10"/>
  <c r="AN48" i="10" s="1"/>
  <c r="AN50" i="10" s="1"/>
  <c r="AG20" i="10"/>
  <c r="AG22" i="10" s="1"/>
  <c r="AG24" i="10" s="1"/>
  <c r="AC29" i="10"/>
  <c r="AC31" i="10" s="1"/>
  <c r="AC33" i="10" s="1"/>
  <c r="Q46" i="10"/>
  <c r="Q48" i="10" s="1"/>
  <c r="Q50" i="10" s="1"/>
  <c r="L56" i="10"/>
  <c r="J41" i="10"/>
  <c r="BZ33" i="11"/>
  <c r="BT44" i="11"/>
  <c r="O33" i="11"/>
  <c r="AA42" i="9"/>
  <c r="AA44" i="9" s="1"/>
  <c r="AA59" i="9" s="1"/>
  <c r="J32" i="9"/>
  <c r="J36" i="9" s="1"/>
  <c r="J58" i="9" s="1"/>
  <c r="Q41" i="10"/>
  <c r="N56" i="10"/>
  <c r="Y44" i="11"/>
  <c r="X56" i="10"/>
  <c r="BP46" i="10"/>
  <c r="BP48" i="10" s="1"/>
  <c r="BP50" i="10" s="1"/>
  <c r="BB29" i="10"/>
  <c r="BB31" i="10" s="1"/>
  <c r="BB33" i="10" s="1"/>
  <c r="AX41" i="10"/>
  <c r="AR20" i="10"/>
  <c r="AR22" i="10" s="1"/>
  <c r="AR24" i="10" s="1"/>
  <c r="AH46" i="10"/>
  <c r="AH48" i="10" s="1"/>
  <c r="AH50" i="10" s="1"/>
  <c r="AD56" i="10"/>
  <c r="X41" i="10"/>
  <c r="T41" i="10"/>
  <c r="R41" i="10"/>
  <c r="L29" i="10"/>
  <c r="L31" i="10" s="1"/>
  <c r="L33" i="10" s="1"/>
  <c r="J20" i="10"/>
  <c r="J22" i="10" s="1"/>
  <c r="J24" i="10" s="1"/>
  <c r="AS22" i="11"/>
  <c r="Y22" i="11"/>
  <c r="N33" i="11"/>
  <c r="CB44" i="9"/>
  <c r="CB59" i="9" s="1"/>
  <c r="AS32" i="9"/>
  <c r="BX46" i="10"/>
  <c r="BX48" i="10" s="1"/>
  <c r="BX50" i="10" s="1"/>
  <c r="BW56" i="10"/>
  <c r="BO56" i="10"/>
  <c r="BK20" i="10"/>
  <c r="BK22" i="10" s="1"/>
  <c r="BK24" i="10" s="1"/>
  <c r="BH20" i="10"/>
  <c r="BH22" i="10" s="1"/>
  <c r="BH24" i="10" s="1"/>
  <c r="BB41" i="10"/>
  <c r="AX46" i="10"/>
  <c r="AX48" i="10" s="1"/>
  <c r="AX50" i="10" s="1"/>
  <c r="AV20" i="10"/>
  <c r="AV22" i="10" s="1"/>
  <c r="AV24" i="10" s="1"/>
  <c r="AM20" i="10"/>
  <c r="AM22" i="10" s="1"/>
  <c r="AM24" i="10" s="1"/>
  <c r="AG29" i="10"/>
  <c r="AG31" i="10" s="1"/>
  <c r="AG33" i="10" s="1"/>
  <c r="AE41" i="10"/>
  <c r="AC20" i="10"/>
  <c r="AC22" i="10" s="1"/>
  <c r="AC24" i="10" s="1"/>
  <c r="V29" i="10"/>
  <c r="V31" i="10" s="1"/>
  <c r="V33" i="10" s="1"/>
  <c r="L41" i="10"/>
  <c r="BX44" i="11"/>
  <c r="BG22" i="11"/>
  <c r="U22" i="11"/>
  <c r="H33" i="11"/>
  <c r="BB44" i="9"/>
  <c r="BB59" i="9" s="1"/>
  <c r="S44" i="9"/>
  <c r="S59" i="9" s="1"/>
  <c r="AV44" i="9"/>
  <c r="AV59" i="9" s="1"/>
  <c r="BM46" i="10"/>
  <c r="BM48" i="10" s="1"/>
  <c r="BM50" i="10" s="1"/>
  <c r="BD56" i="10"/>
  <c r="D13" i="16"/>
  <c r="BO42" i="9"/>
  <c r="AZ42" i="9"/>
  <c r="AZ44" i="9" s="1"/>
  <c r="AZ59" i="9" s="1"/>
  <c r="AI44" i="9"/>
  <c r="AI59" i="9" s="1"/>
  <c r="Q42" i="9"/>
  <c r="Q44" i="9" s="1"/>
  <c r="Q59" i="9" s="1"/>
  <c r="BR56" i="10"/>
  <c r="BM41" i="10"/>
  <c r="AP46" i="10"/>
  <c r="AP48" i="10" s="1"/>
  <c r="AP50" i="10" s="1"/>
  <c r="AJ46" i="10"/>
  <c r="AJ48" i="10" s="1"/>
  <c r="AJ50" i="10" s="1"/>
  <c r="AI56" i="10"/>
  <c r="AE29" i="10"/>
  <c r="AE31" i="10" s="1"/>
  <c r="AE33" i="10" s="1"/>
  <c r="AD29" i="10"/>
  <c r="AD31" i="10" s="1"/>
  <c r="AD33" i="10" s="1"/>
  <c r="BO33" i="11"/>
  <c r="T44" i="11"/>
  <c r="AG42" i="9"/>
  <c r="AG44" i="9" s="1"/>
  <c r="P44" i="9"/>
  <c r="P59" i="9" s="1"/>
  <c r="BS46" i="10"/>
  <c r="BS48" i="10" s="1"/>
  <c r="BS50" i="10" s="1"/>
  <c r="BR41" i="10"/>
  <c r="BO20" i="10"/>
  <c r="BO22" i="10" s="1"/>
  <c r="BO24" i="10" s="1"/>
  <c r="BJ56" i="10"/>
  <c r="BD46" i="10"/>
  <c r="BD48" i="10" s="1"/>
  <c r="BD50" i="10" s="1"/>
  <c r="AZ20" i="10"/>
  <c r="AZ22" i="10" s="1"/>
  <c r="AZ24" i="10" s="1"/>
  <c r="AY58" i="10"/>
  <c r="AY65" i="10" s="1"/>
  <c r="AY72" i="10" s="1"/>
  <c r="AV56" i="10"/>
  <c r="AU46" i="10"/>
  <c r="AU48" i="10" s="1"/>
  <c r="AU50" i="10" s="1"/>
  <c r="AP41" i="10"/>
  <c r="AJ41" i="10"/>
  <c r="AI46" i="10"/>
  <c r="AI48" i="10" s="1"/>
  <c r="AI50" i="10" s="1"/>
  <c r="AE20" i="10"/>
  <c r="AE22" i="10" s="1"/>
  <c r="AE24" i="10" s="1"/>
  <c r="AD20" i="10"/>
  <c r="AD22" i="10" s="1"/>
  <c r="BR33" i="11"/>
  <c r="AZ44" i="11"/>
  <c r="AS44" i="11"/>
  <c r="AO44" i="11"/>
  <c r="AF44" i="11"/>
  <c r="T33" i="11"/>
  <c r="BK42" i="9"/>
  <c r="BK44" i="9" s="1"/>
  <c r="BK59" i="9" s="1"/>
  <c r="AX42" i="9"/>
  <c r="AX44" i="9" s="1"/>
  <c r="AX59" i="9" s="1"/>
  <c r="I44" i="9"/>
  <c r="I59" i="9" s="1"/>
  <c r="BS41" i="10"/>
  <c r="BM29" i="10"/>
  <c r="BM31" i="10" s="1"/>
  <c r="BM33" i="10" s="1"/>
  <c r="BJ41" i="10"/>
  <c r="BH46" i="10"/>
  <c r="BH48" i="10" s="1"/>
  <c r="BH50" i="10" s="1"/>
  <c r="BE56" i="10"/>
  <c r="AU41" i="10"/>
  <c r="AQ56" i="10"/>
  <c r="AV44" i="11"/>
  <c r="AB44" i="11"/>
  <c r="BX42" i="9"/>
  <c r="BX44" i="9" s="1"/>
  <c r="BX59" i="9" s="1"/>
  <c r="BJ42" i="9"/>
  <c r="BJ44" i="9" s="1"/>
  <c r="AC42" i="9"/>
  <c r="AC44" i="9" s="1"/>
  <c r="AC59" i="9" s="1"/>
  <c r="CA44" i="9"/>
  <c r="CA59" i="9" s="1"/>
  <c r="BL44" i="9"/>
  <c r="BL59" i="9" s="1"/>
  <c r="BE44" i="9"/>
  <c r="BE59" i="9" s="1"/>
  <c r="AO44" i="9"/>
  <c r="AO59" i="9" s="1"/>
  <c r="BM20" i="10"/>
  <c r="BM22" i="10" s="1"/>
  <c r="BM24" i="10" s="1"/>
  <c r="BH41" i="10"/>
  <c r="BE46" i="10"/>
  <c r="BE48" i="10" s="1"/>
  <c r="BE50" i="10" s="1"/>
  <c r="BD29" i="10"/>
  <c r="BD31" i="10" s="1"/>
  <c r="BD33" i="10" s="1"/>
  <c r="AV46" i="10"/>
  <c r="AV48" i="10" s="1"/>
  <c r="AV50" i="10" s="1"/>
  <c r="AI29" i="10"/>
  <c r="AI31" i="10" s="1"/>
  <c r="AI33" i="10" s="1"/>
  <c r="AG56" i="10"/>
  <c r="Q56" i="10"/>
  <c r="F56" i="10"/>
  <c r="BI44" i="11"/>
  <c r="AV33" i="11"/>
  <c r="AB33" i="11"/>
  <c r="S44" i="11"/>
  <c r="BV42" i="9"/>
  <c r="BV44" i="9" s="1"/>
  <c r="BV59" i="9" s="1"/>
  <c r="BH44" i="9"/>
  <c r="BH59" i="9" s="1"/>
  <c r="AR42" i="9"/>
  <c r="AR44" i="9" s="1"/>
  <c r="AR59" i="9" s="1"/>
  <c r="AB42" i="9"/>
  <c r="AB44" i="9" s="1"/>
  <c r="AB59" i="9" s="1"/>
  <c r="BR29" i="10"/>
  <c r="BR31" i="10" s="1"/>
  <c r="BR33" i="10" s="1"/>
  <c r="BJ29" i="10"/>
  <c r="BJ31" i="10" s="1"/>
  <c r="BJ33" i="10" s="1"/>
  <c r="BD20" i="10"/>
  <c r="BD22" i="10" s="1"/>
  <c r="BD24" i="10" s="1"/>
  <c r="AJ20" i="10"/>
  <c r="AJ22" i="10" s="1"/>
  <c r="AJ24" i="10" s="1"/>
  <c r="BY22" i="11"/>
  <c r="BQ22" i="11"/>
  <c r="AN44" i="11"/>
  <c r="I44" i="11"/>
  <c r="CB29" i="10"/>
  <c r="CB31" i="10" s="1"/>
  <c r="CB33" i="10" s="1"/>
  <c r="CB41" i="10"/>
  <c r="CB46" i="10"/>
  <c r="CB48" i="10" s="1"/>
  <c r="CB50" i="10" s="1"/>
  <c r="CB20" i="10"/>
  <c r="CB22" i="10" s="1"/>
  <c r="CB24" i="10" s="1"/>
  <c r="CB56" i="10"/>
  <c r="AQ41" i="10"/>
  <c r="AQ46" i="10"/>
  <c r="AQ48" i="10" s="1"/>
  <c r="AQ50" i="10" s="1"/>
  <c r="AQ20" i="10"/>
  <c r="AQ22" i="10" s="1"/>
  <c r="AQ24" i="10" s="1"/>
  <c r="I20" i="10"/>
  <c r="I22" i="10" s="1"/>
  <c r="I24" i="10" s="1"/>
  <c r="I29" i="10"/>
  <c r="I31" i="10" s="1"/>
  <c r="I33" i="10" s="1"/>
  <c r="I41" i="10"/>
  <c r="I56" i="10"/>
  <c r="AG33" i="11"/>
  <c r="AG22" i="11"/>
  <c r="AG44" i="11"/>
  <c r="AL20" i="10"/>
  <c r="AL22" i="10" s="1"/>
  <c r="AL24" i="10" s="1"/>
  <c r="AL29" i="10"/>
  <c r="AL31" i="10" s="1"/>
  <c r="AL33" i="10" s="1"/>
  <c r="AL41" i="10"/>
  <c r="AL56" i="10"/>
  <c r="AQ22" i="11"/>
  <c r="AQ33" i="11"/>
  <c r="AQ44" i="11"/>
  <c r="AF41" i="10"/>
  <c r="AF29" i="10"/>
  <c r="AF31" i="10" s="1"/>
  <c r="AF33" i="10" s="1"/>
  <c r="AF46" i="10"/>
  <c r="AF48" i="10" s="1"/>
  <c r="AF50" i="10" s="1"/>
  <c r="AF56" i="10"/>
  <c r="AF20" i="10"/>
  <c r="AF22" i="10" s="1"/>
  <c r="AF24" i="10" s="1"/>
  <c r="N29" i="10"/>
  <c r="N31" i="10" s="1"/>
  <c r="N33" i="10" s="1"/>
  <c r="N41" i="10"/>
  <c r="N20" i="10"/>
  <c r="N22" i="10" s="1"/>
  <c r="N24" i="10" s="1"/>
  <c r="E20" i="10"/>
  <c r="E22" i="10" s="1"/>
  <c r="E24" i="10" s="1"/>
  <c r="E41" i="10"/>
  <c r="E46" i="10"/>
  <c r="E48" i="10" s="1"/>
  <c r="E50" i="10" s="1"/>
  <c r="BE33" i="11"/>
  <c r="BE22" i="11"/>
  <c r="G33" i="11"/>
  <c r="G22" i="11"/>
  <c r="BL56" i="10"/>
  <c r="AT20" i="10"/>
  <c r="AT22" i="10" s="1"/>
  <c r="AT24" i="10" s="1"/>
  <c r="AT41" i="10"/>
  <c r="AT56" i="10"/>
  <c r="AT29" i="10"/>
  <c r="AT31" i="10" s="1"/>
  <c r="AT33" i="10" s="1"/>
  <c r="AJ22" i="11"/>
  <c r="AJ33" i="11"/>
  <c r="AJ44" i="11"/>
  <c r="BU20" i="10"/>
  <c r="BU22" i="10" s="1"/>
  <c r="BU24" i="10" s="1"/>
  <c r="BU56" i="10"/>
  <c r="BU29" i="10"/>
  <c r="BU31" i="10" s="1"/>
  <c r="BU33" i="10" s="1"/>
  <c r="BU46" i="10"/>
  <c r="BU48" i="10" s="1"/>
  <c r="BU50" i="10" s="1"/>
  <c r="W56" i="10"/>
  <c r="CB33" i="11"/>
  <c r="CB22" i="11"/>
  <c r="J33" i="11"/>
  <c r="J22" i="11"/>
  <c r="BH22" i="11"/>
  <c r="BH33" i="11"/>
  <c r="BL29" i="10"/>
  <c r="BL31" i="10" s="1"/>
  <c r="BL33" i="10" s="1"/>
  <c r="BL41" i="10"/>
  <c r="BL20" i="10"/>
  <c r="BL22" i="10" s="1"/>
  <c r="BL24" i="10" s="1"/>
  <c r="W20" i="10"/>
  <c r="W22" i="10" s="1"/>
  <c r="W24" i="10" s="1"/>
  <c r="W29" i="10"/>
  <c r="W31" i="10" s="1"/>
  <c r="W33" i="10" s="1"/>
  <c r="W41" i="10"/>
  <c r="Q33" i="11"/>
  <c r="Q44" i="11"/>
  <c r="BU41" i="10"/>
  <c r="M41" i="10"/>
  <c r="M46" i="10"/>
  <c r="M48" i="10" s="1"/>
  <c r="M50" i="10" s="1"/>
  <c r="M20" i="10"/>
  <c r="M22" i="10" s="1"/>
  <c r="M24" i="10" s="1"/>
  <c r="AA22" i="11"/>
  <c r="AA33" i="11"/>
  <c r="AA44" i="11"/>
  <c r="D44" i="11"/>
  <c r="D45" i="16" s="1"/>
  <c r="D22" i="11"/>
  <c r="D23" i="16" s="1"/>
  <c r="BO41" i="10"/>
  <c r="BE41" i="10"/>
  <c r="AW41" i="10"/>
  <c r="AR46" i="10"/>
  <c r="AR48" i="10" s="1"/>
  <c r="AR50" i="10" s="1"/>
  <c r="AO29" i="10"/>
  <c r="AO31" i="10" s="1"/>
  <c r="AO33" i="10" s="1"/>
  <c r="AI41" i="10"/>
  <c r="J46" i="10"/>
  <c r="J48" i="10" s="1"/>
  <c r="J50" i="10" s="1"/>
  <c r="BW42" i="9"/>
  <c r="BW44" i="9" s="1"/>
  <c r="BW59" i="9" s="1"/>
  <c r="BO44" i="9"/>
  <c r="BO59" i="9" s="1"/>
  <c r="H44" i="9"/>
  <c r="H59" i="9" s="1"/>
  <c r="BL32" i="9"/>
  <c r="BL36" i="9" s="1"/>
  <c r="BL58" i="9" s="1"/>
  <c r="U32" i="9"/>
  <c r="U36" i="9" s="1"/>
  <c r="BZ41" i="10"/>
  <c r="BG29" i="10"/>
  <c r="BG31" i="10" s="1"/>
  <c r="BG33" i="10" s="1"/>
  <c r="BE29" i="10"/>
  <c r="BE31" i="10" s="1"/>
  <c r="BE33" i="10" s="1"/>
  <c r="AZ46" i="10"/>
  <c r="AZ48" i="10" s="1"/>
  <c r="AZ50" i="10" s="1"/>
  <c r="AW29" i="10"/>
  <c r="AW31" i="10" s="1"/>
  <c r="AW33" i="10" s="1"/>
  <c r="AO56" i="10"/>
  <c r="AC56" i="10"/>
  <c r="H46" i="10"/>
  <c r="H48" i="10" s="1"/>
  <c r="H50" i="10" s="1"/>
  <c r="D56" i="10"/>
  <c r="D57" i="15" s="1"/>
  <c r="BM44" i="11"/>
  <c r="BG44" i="11"/>
  <c r="BD44" i="11"/>
  <c r="BA22" i="11"/>
  <c r="AK33" i="11"/>
  <c r="U44" i="11"/>
  <c r="S33" i="11"/>
  <c r="L44" i="11"/>
  <c r="F33" i="11"/>
  <c r="BU44" i="9"/>
  <c r="BU59" i="9" s="1"/>
  <c r="BF42" i="9"/>
  <c r="BF44" i="9" s="1"/>
  <c r="BF59" i="9" s="1"/>
  <c r="BU32" i="9"/>
  <c r="AP32" i="9"/>
  <c r="Y42" i="9"/>
  <c r="Y44" i="9" s="1"/>
  <c r="Y59" i="9" s="1"/>
  <c r="CA46" i="10"/>
  <c r="CA48" i="10" s="1"/>
  <c r="CA50" i="10" s="1"/>
  <c r="BG20" i="10"/>
  <c r="BG22" i="10" s="1"/>
  <c r="BG24" i="10" s="1"/>
  <c r="BE24" i="10"/>
  <c r="AZ41" i="10"/>
  <c r="AW24" i="10"/>
  <c r="AO20" i="10"/>
  <c r="AO22" i="10" s="1"/>
  <c r="AO24" i="10" s="1"/>
  <c r="AH20" i="10"/>
  <c r="AH22" i="10" s="1"/>
  <c r="AH24" i="10" s="1"/>
  <c r="X29" i="10"/>
  <c r="X31" i="10" s="1"/>
  <c r="X33" i="10" s="1"/>
  <c r="H41" i="10"/>
  <c r="F29" i="10"/>
  <c r="F31" i="10" s="1"/>
  <c r="F33" i="10" s="1"/>
  <c r="D41" i="10"/>
  <c r="D42" i="15" s="1"/>
  <c r="BW44" i="11"/>
  <c r="BP44" i="11"/>
  <c r="BM22" i="11"/>
  <c r="O44" i="11"/>
  <c r="F22" i="11"/>
  <c r="P46" i="9"/>
  <c r="P61" i="9" s="1"/>
  <c r="AN42" i="9"/>
  <c r="AN44" i="9" s="1"/>
  <c r="AN59" i="9" s="1"/>
  <c r="AF42" i="9"/>
  <c r="AF44" i="9" s="1"/>
  <c r="AF59" i="9" s="1"/>
  <c r="M42" i="9"/>
  <c r="M44" i="9" s="1"/>
  <c r="M59" i="9" s="1"/>
  <c r="CA32" i="9"/>
  <c r="BD32" i="9"/>
  <c r="AP44" i="9"/>
  <c r="AP59" i="9" s="1"/>
  <c r="Z32" i="9"/>
  <c r="Z36" i="9" s="1"/>
  <c r="Z58" i="9" s="1"/>
  <c r="T32" i="9"/>
  <c r="T36" i="9" s="1"/>
  <c r="L42" i="9"/>
  <c r="L44" i="9" s="1"/>
  <c r="L59" i="9" s="1"/>
  <c r="U44" i="9"/>
  <c r="U59" i="9" s="1"/>
  <c r="CA20" i="10"/>
  <c r="CA22" i="10" s="1"/>
  <c r="CA24" i="10" s="1"/>
  <c r="BG56" i="10"/>
  <c r="AO46" i="10"/>
  <c r="AO48" i="10" s="1"/>
  <c r="AO50" i="10" s="1"/>
  <c r="D29" i="10"/>
  <c r="D31" i="10" s="1"/>
  <c r="BZ22" i="11"/>
  <c r="BI22" i="11"/>
  <c r="AZ33" i="11"/>
  <c r="AW22" i="11"/>
  <c r="AN22" i="11"/>
  <c r="X22" i="11"/>
  <c r="H22" i="11"/>
  <c r="BC42" i="9"/>
  <c r="BC44" i="9" s="1"/>
  <c r="BC59" i="9" s="1"/>
  <c r="AU42" i="9"/>
  <c r="AU44" i="9" s="1"/>
  <c r="AU59" i="9" s="1"/>
  <c r="K42" i="9"/>
  <c r="K44" i="9" s="1"/>
  <c r="K59" i="9" s="1"/>
  <c r="AO32" i="9"/>
  <c r="AO36" i="9" s="1"/>
  <c r="AO46" i="9" s="1"/>
  <c r="F24" i="10"/>
  <c r="AV32" i="9"/>
  <c r="AS20" i="10"/>
  <c r="AS22" i="10" s="1"/>
  <c r="AS24" i="10" s="1"/>
  <c r="AS46" i="10"/>
  <c r="AS48" i="10" s="1"/>
  <c r="AS50" i="10" s="1"/>
  <c r="AS29" i="10"/>
  <c r="AS31" i="10" s="1"/>
  <c r="AS33" i="10" s="1"/>
  <c r="AS56" i="10"/>
  <c r="BV41" i="10"/>
  <c r="BS24" i="10"/>
  <c r="AP24" i="10"/>
  <c r="AP29" i="10"/>
  <c r="AP31" i="10" s="1"/>
  <c r="AP33" i="10" s="1"/>
  <c r="AP56" i="10"/>
  <c r="Y20" i="10"/>
  <c r="Y22" i="10" s="1"/>
  <c r="Y24" i="10" s="1"/>
  <c r="Y56" i="10"/>
  <c r="Y29" i="10"/>
  <c r="Y31" i="10" s="1"/>
  <c r="Y33" i="10" s="1"/>
  <c r="BI20" i="10"/>
  <c r="BI22" i="10" s="1"/>
  <c r="BI24" i="10" s="1"/>
  <c r="BI46" i="10"/>
  <c r="BI48" i="10" s="1"/>
  <c r="BI50" i="10" s="1"/>
  <c r="BI29" i="10"/>
  <c r="BI31" i="10" s="1"/>
  <c r="BI33" i="10" s="1"/>
  <c r="BI56" i="10"/>
  <c r="AU24" i="10"/>
  <c r="BF29" i="10"/>
  <c r="BF31" i="10" s="1"/>
  <c r="BF33" i="10" s="1"/>
  <c r="BF56" i="10"/>
  <c r="AK20" i="10"/>
  <c r="AK22" i="10" s="1"/>
  <c r="AK24" i="10" s="1"/>
  <c r="AK46" i="10"/>
  <c r="AK48" i="10" s="1"/>
  <c r="AK50" i="10" s="1"/>
  <c r="AK29" i="10"/>
  <c r="AK31" i="10" s="1"/>
  <c r="AK33" i="10" s="1"/>
  <c r="AK56" i="10"/>
  <c r="BN29" i="10"/>
  <c r="BN31" i="10" s="1"/>
  <c r="BN33" i="10" s="1"/>
  <c r="BN56" i="10"/>
  <c r="Z29" i="10"/>
  <c r="Z31" i="10" s="1"/>
  <c r="Z33" i="10" s="1"/>
  <c r="Z56" i="10"/>
  <c r="Z20" i="10"/>
  <c r="Z22" i="10" s="1"/>
  <c r="Z24" i="10" s="1"/>
  <c r="BZ20" i="10"/>
  <c r="BZ22" i="10" s="1"/>
  <c r="BZ24" i="10" s="1"/>
  <c r="BZ46" i="10"/>
  <c r="BZ48" i="10" s="1"/>
  <c r="BZ50" i="10" s="1"/>
  <c r="BN46" i="10"/>
  <c r="BN48" i="10" s="1"/>
  <c r="BN50" i="10" s="1"/>
  <c r="AH29" i="10"/>
  <c r="AH31" i="10" s="1"/>
  <c r="AH33" i="10" s="1"/>
  <c r="AH56" i="10"/>
  <c r="AB20" i="10"/>
  <c r="AB22" i="10" s="1"/>
  <c r="AB24" i="10" s="1"/>
  <c r="AB46" i="10"/>
  <c r="AB48" i="10" s="1"/>
  <c r="AB50" i="10" s="1"/>
  <c r="AB29" i="10"/>
  <c r="AB31" i="10" s="1"/>
  <c r="AB33" i="10" s="1"/>
  <c r="AB41" i="10"/>
  <c r="BV24" i="10"/>
  <c r="BN41" i="10"/>
  <c r="BA20" i="10"/>
  <c r="BA22" i="10" s="1"/>
  <c r="BA24" i="10" s="1"/>
  <c r="BA46" i="10"/>
  <c r="BA48" i="10" s="1"/>
  <c r="BA50" i="10" s="1"/>
  <c r="BA29" i="10"/>
  <c r="BA31" i="10" s="1"/>
  <c r="BA33" i="10" s="1"/>
  <c r="BA56" i="10"/>
  <c r="P24" i="10"/>
  <c r="P29" i="10"/>
  <c r="P31" i="10" s="1"/>
  <c r="P33" i="10" s="1"/>
  <c r="P41" i="10"/>
  <c r="P46" i="10"/>
  <c r="P48" i="10" s="1"/>
  <c r="P50" i="10" s="1"/>
  <c r="P56" i="10"/>
  <c r="CA29" i="10"/>
  <c r="CA31" i="10" s="1"/>
  <c r="CA33" i="10" s="1"/>
  <c r="CA56" i="10"/>
  <c r="BY20" i="10"/>
  <c r="BY22" i="10" s="1"/>
  <c r="BY24" i="10" s="1"/>
  <c r="BY46" i="10"/>
  <c r="BY48" i="10" s="1"/>
  <c r="BY50" i="10" s="1"/>
  <c r="BY29" i="10"/>
  <c r="BY31" i="10" s="1"/>
  <c r="BY33" i="10" s="1"/>
  <c r="BY56" i="10"/>
  <c r="AX24" i="10"/>
  <c r="AX29" i="10"/>
  <c r="AX31" i="10" s="1"/>
  <c r="AX33" i="10" s="1"/>
  <c r="AX56" i="10"/>
  <c r="AS41" i="10"/>
  <c r="Y46" i="10"/>
  <c r="Y48" i="10" s="1"/>
  <c r="Y50" i="10" s="1"/>
  <c r="BV56" i="10"/>
  <c r="BQ20" i="10"/>
  <c r="BQ22" i="10" s="1"/>
  <c r="BQ24" i="10" s="1"/>
  <c r="BQ46" i="10"/>
  <c r="BQ48" i="10" s="1"/>
  <c r="BQ50" i="10" s="1"/>
  <c r="BQ29" i="10"/>
  <c r="BQ31" i="10" s="1"/>
  <c r="BQ33" i="10" s="1"/>
  <c r="BQ56" i="10"/>
  <c r="BN20" i="10"/>
  <c r="BN22" i="10" s="1"/>
  <c r="BN24" i="10" s="1"/>
  <c r="BF46" i="10"/>
  <c r="BF48" i="10" s="1"/>
  <c r="BF50" i="10" s="1"/>
  <c r="BC24" i="10"/>
  <c r="Z46" i="10"/>
  <c r="Z48" i="10" s="1"/>
  <c r="Z50" i="10" s="1"/>
  <c r="Y41" i="10"/>
  <c r="BR24" i="10"/>
  <c r="BJ24" i="10"/>
  <c r="BB24" i="10"/>
  <c r="R42" i="9"/>
  <c r="R44" i="9" s="1"/>
  <c r="R59" i="9" s="1"/>
  <c r="R32" i="9"/>
  <c r="U24" i="10"/>
  <c r="S20" i="10"/>
  <c r="S22" i="10" s="1"/>
  <c r="S24" i="10" s="1"/>
  <c r="S46" i="10"/>
  <c r="S48" i="10" s="1"/>
  <c r="S50" i="10" s="1"/>
  <c r="S29" i="10"/>
  <c r="S31" i="10" s="1"/>
  <c r="S33" i="10" s="1"/>
  <c r="S56" i="10"/>
  <c r="K20" i="10"/>
  <c r="K22" i="10" s="1"/>
  <c r="K24" i="10" s="1"/>
  <c r="K46" i="10"/>
  <c r="K48" i="10" s="1"/>
  <c r="K50" i="10" s="1"/>
  <c r="K29" i="10"/>
  <c r="K31" i="10" s="1"/>
  <c r="K33" i="10" s="1"/>
  <c r="K56" i="10"/>
  <c r="BR46" i="10"/>
  <c r="BR48" i="10" s="1"/>
  <c r="BR50" i="10" s="1"/>
  <c r="BJ46" i="10"/>
  <c r="BJ48" i="10" s="1"/>
  <c r="BJ50" i="10" s="1"/>
  <c r="BB46" i="10"/>
  <c r="BB48" i="10" s="1"/>
  <c r="BB50" i="10" s="1"/>
  <c r="AT46" i="10"/>
  <c r="AT48" i="10" s="1"/>
  <c r="AT50" i="10" s="1"/>
  <c r="AL46" i="10"/>
  <c r="AL48" i="10" s="1"/>
  <c r="AL50" i="10" s="1"/>
  <c r="AD24" i="10"/>
  <c r="AC46" i="10"/>
  <c r="AC48" i="10" s="1"/>
  <c r="AC50" i="10" s="1"/>
  <c r="T20" i="10"/>
  <c r="T22" i="10" s="1"/>
  <c r="T24" i="10" s="1"/>
  <c r="T46" i="10"/>
  <c r="T48" i="10" s="1"/>
  <c r="T50" i="10" s="1"/>
  <c r="H24" i="10"/>
  <c r="H29" i="10"/>
  <c r="H31" i="10" s="1"/>
  <c r="H33" i="10" s="1"/>
  <c r="H56" i="10"/>
  <c r="BN44" i="11"/>
  <c r="BN22" i="11"/>
  <c r="BN33" i="11"/>
  <c r="BK22" i="11"/>
  <c r="BK44" i="11"/>
  <c r="BK33" i="11"/>
  <c r="AU22" i="11"/>
  <c r="AU33" i="11"/>
  <c r="AU44" i="11"/>
  <c r="AD33" i="11"/>
  <c r="AD44" i="11"/>
  <c r="AD22" i="11"/>
  <c r="M22" i="11"/>
  <c r="M33" i="11"/>
  <c r="M44" i="11"/>
  <c r="BU22" i="11"/>
  <c r="BU33" i="11"/>
  <c r="BU44" i="11"/>
  <c r="AL33" i="11"/>
  <c r="AL44" i="11"/>
  <c r="BS56" i="10"/>
  <c r="BS29" i="10"/>
  <c r="BS31" i="10" s="1"/>
  <c r="BS33" i="10" s="1"/>
  <c r="BK56" i="10"/>
  <c r="BK29" i="10"/>
  <c r="BK31" i="10" s="1"/>
  <c r="BK33" i="10" s="1"/>
  <c r="BC56" i="10"/>
  <c r="BC29" i="10"/>
  <c r="BC31" i="10" s="1"/>
  <c r="BC33" i="10" s="1"/>
  <c r="AU56" i="10"/>
  <c r="AU29" i="10"/>
  <c r="AU31" i="10" s="1"/>
  <c r="AU33" i="10" s="1"/>
  <c r="AM56" i="10"/>
  <c r="AM29" i="10"/>
  <c r="AM31" i="10" s="1"/>
  <c r="AM33" i="10" s="1"/>
  <c r="BB33" i="11"/>
  <c r="BB44" i="11"/>
  <c r="BX56" i="10"/>
  <c r="BP56" i="10"/>
  <c r="BH56" i="10"/>
  <c r="AZ56" i="10"/>
  <c r="AR56" i="10"/>
  <c r="AJ56" i="10"/>
  <c r="AA20" i="10"/>
  <c r="AA22" i="10" s="1"/>
  <c r="AA24" i="10" s="1"/>
  <c r="AA46" i="10"/>
  <c r="AA48" i="10" s="1"/>
  <c r="AA50" i="10" s="1"/>
  <c r="AA29" i="10"/>
  <c r="AA31" i="10" s="1"/>
  <c r="AA33" i="10" s="1"/>
  <c r="AA56" i="10"/>
  <c r="T56" i="10"/>
  <c r="L24" i="10"/>
  <c r="D24" i="10"/>
  <c r="D25" i="15" s="1"/>
  <c r="BV44" i="11"/>
  <c r="BV22" i="11"/>
  <c r="BV33" i="11"/>
  <c r="AW42" i="9"/>
  <c r="AW44" i="9" s="1"/>
  <c r="AW59" i="9" s="1"/>
  <c r="AW32" i="9"/>
  <c r="AW36" i="9" s="1"/>
  <c r="AT33" i="11"/>
  <c r="AT44" i="11"/>
  <c r="L46" i="10"/>
  <c r="L48" i="10" s="1"/>
  <c r="L50" i="10" s="1"/>
  <c r="D46" i="10"/>
  <c r="D48" i="10" s="1"/>
  <c r="D50" i="10" s="1"/>
  <c r="D51" i="15" s="1"/>
  <c r="CB44" i="11"/>
  <c r="BX33" i="11"/>
  <c r="BS22" i="11"/>
  <c r="BS44" i="11"/>
  <c r="BP33" i="11"/>
  <c r="BJ33" i="11"/>
  <c r="BJ44" i="11"/>
  <c r="AX44" i="11"/>
  <c r="AX22" i="11"/>
  <c r="AX33" i="11"/>
  <c r="W22" i="11"/>
  <c r="W33" i="11"/>
  <c r="W44" i="11"/>
  <c r="BC22" i="11"/>
  <c r="BC44" i="11"/>
  <c r="AE22" i="11"/>
  <c r="AE33" i="11"/>
  <c r="AE44" i="11"/>
  <c r="U56" i="10"/>
  <c r="U29" i="10"/>
  <c r="U31" i="10" s="1"/>
  <c r="U33" i="10" s="1"/>
  <c r="M56" i="10"/>
  <c r="M29" i="10"/>
  <c r="M31" i="10" s="1"/>
  <c r="M33" i="10" s="1"/>
  <c r="E56" i="10"/>
  <c r="E29" i="10"/>
  <c r="E31" i="10" s="1"/>
  <c r="E33" i="10" s="1"/>
  <c r="AM22" i="11"/>
  <c r="AM33" i="11"/>
  <c r="AM44" i="11"/>
  <c r="F32" i="9"/>
  <c r="F36" i="9" s="1"/>
  <c r="F42" i="9"/>
  <c r="F44" i="9" s="1"/>
  <c r="F59" i="9" s="1"/>
  <c r="R56" i="10"/>
  <c r="J56" i="10"/>
  <c r="BF44" i="11"/>
  <c r="BF22" i="11"/>
  <c r="BF33" i="11"/>
  <c r="V33" i="11"/>
  <c r="V44" i="11"/>
  <c r="AP33" i="11"/>
  <c r="AH33" i="11"/>
  <c r="Z33" i="11"/>
  <c r="R33" i="11"/>
  <c r="J44" i="11"/>
  <c r="E44" i="11"/>
  <c r="C33" i="11"/>
  <c r="I35" i="11" s="1"/>
  <c r="I52" i="11" s="1"/>
  <c r="C44" i="11"/>
  <c r="AN46" i="11" s="1"/>
  <c r="AN53" i="11" s="1"/>
  <c r="C22" i="11"/>
  <c r="C23" i="16" s="1"/>
  <c r="BQ32" i="9"/>
  <c r="BQ42" i="9"/>
  <c r="BQ44" i="9" s="1"/>
  <c r="BQ59" i="9" s="1"/>
  <c r="BY44" i="11"/>
  <c r="BQ44" i="11"/>
  <c r="AP22" i="11"/>
  <c r="AH22" i="11"/>
  <c r="Z22" i="11"/>
  <c r="R22" i="11"/>
  <c r="Q22" i="11"/>
  <c r="I22" i="11"/>
  <c r="E33" i="11"/>
  <c r="BZ32" i="9"/>
  <c r="BZ36" i="9" s="1"/>
  <c r="BZ42" i="9"/>
  <c r="BZ44" i="9" s="1"/>
  <c r="BZ59" i="9" s="1"/>
  <c r="AL32" i="9"/>
  <c r="AL42" i="9"/>
  <c r="AL44" i="9" s="1"/>
  <c r="AL59" i="9" s="1"/>
  <c r="C33" i="17"/>
  <c r="BF36" i="9"/>
  <c r="AX36" i="9"/>
  <c r="BN36" i="9"/>
  <c r="BJ58" i="9"/>
  <c r="BA32" i="9"/>
  <c r="BA42" i="9"/>
  <c r="BA44" i="9" s="1"/>
  <c r="BA59" i="9" s="1"/>
  <c r="BM42" i="9"/>
  <c r="BM44" i="9" s="1"/>
  <c r="BM59" i="9" s="1"/>
  <c r="BM32" i="9"/>
  <c r="BM36" i="9" s="1"/>
  <c r="V32" i="9"/>
  <c r="V42" i="9"/>
  <c r="V44" i="9" s="1"/>
  <c r="V59" i="9" s="1"/>
  <c r="K22" i="11"/>
  <c r="K33" i="11"/>
  <c r="AH42" i="9"/>
  <c r="AH44" i="9" s="1"/>
  <c r="AH59" i="9" s="1"/>
  <c r="AH32" i="9"/>
  <c r="AH36" i="9" s="1"/>
  <c r="X58" i="9"/>
  <c r="D32" i="9"/>
  <c r="D42" i="9"/>
  <c r="D44" i="9" s="1"/>
  <c r="BY32" i="9"/>
  <c r="BY36" i="9" s="1"/>
  <c r="BY42" i="9"/>
  <c r="BY44" i="9" s="1"/>
  <c r="BY59" i="9" s="1"/>
  <c r="BP36" i="9"/>
  <c r="BE32" i="9"/>
  <c r="AE42" i="9"/>
  <c r="AE44" i="9" s="1"/>
  <c r="AE59" i="9" s="1"/>
  <c r="AE32" i="9"/>
  <c r="O42" i="9"/>
  <c r="O44" i="9" s="1"/>
  <c r="O59" i="9" s="1"/>
  <c r="O32" i="9"/>
  <c r="O36" i="9" s="1"/>
  <c r="BI32" i="9"/>
  <c r="BI36" i="9" s="1"/>
  <c r="BI42" i="9"/>
  <c r="BI44" i="9" s="1"/>
  <c r="BI59" i="9" s="1"/>
  <c r="AS44" i="9"/>
  <c r="AS59" i="9" s="1"/>
  <c r="BT32" i="9"/>
  <c r="BT36" i="9" s="1"/>
  <c r="AK36" i="9"/>
  <c r="BX36" i="9"/>
  <c r="BO36" i="9"/>
  <c r="AD32" i="9"/>
  <c r="AD42" i="9"/>
  <c r="AD44" i="9" s="1"/>
  <c r="AD59" i="9" s="1"/>
  <c r="Z44" i="9"/>
  <c r="N32" i="9"/>
  <c r="N36" i="9" s="1"/>
  <c r="N42" i="9"/>
  <c r="N44" i="9" s="1"/>
  <c r="N59" i="9" s="1"/>
  <c r="J44" i="9"/>
  <c r="BS44" i="9"/>
  <c r="BS59" i="9" s="1"/>
  <c r="AJ44" i="9"/>
  <c r="AJ59" i="9" s="1"/>
  <c r="AM42" i="9"/>
  <c r="AM44" i="9" s="1"/>
  <c r="AM59" i="9" s="1"/>
  <c r="AM32" i="9"/>
  <c r="W42" i="9"/>
  <c r="W44" i="9" s="1"/>
  <c r="W59" i="9" s="1"/>
  <c r="W32" i="9"/>
  <c r="W36" i="9" s="1"/>
  <c r="G42" i="9"/>
  <c r="G44" i="9" s="1"/>
  <c r="G59" i="9" s="1"/>
  <c r="G32" i="9"/>
  <c r="G36" i="9" s="1"/>
  <c r="D33" i="16"/>
  <c r="D35" i="17"/>
  <c r="C19" i="18"/>
  <c r="D34" i="16"/>
  <c r="D20" i="15"/>
  <c r="D40" i="15"/>
  <c r="D65" i="15"/>
  <c r="D21" i="15"/>
  <c r="D44" i="16"/>
  <c r="D23" i="15"/>
  <c r="D46" i="15"/>
  <c r="D34" i="17"/>
  <c r="D21" i="17"/>
  <c r="C13" i="18"/>
  <c r="D63" i="15"/>
  <c r="D22" i="16"/>
  <c r="D22" i="17"/>
  <c r="C14" i="18"/>
  <c r="D14" i="13"/>
  <c r="D38" i="15"/>
  <c r="D29" i="15"/>
  <c r="C16" i="18"/>
  <c r="D36" i="9" l="1"/>
  <c r="BQ36" i="9"/>
  <c r="AP36" i="9"/>
  <c r="AP58" i="9" s="1"/>
  <c r="K36" i="9"/>
  <c r="AA36" i="9"/>
  <c r="AA58" i="9" s="1"/>
  <c r="I36" i="9"/>
  <c r="I58" i="9" s="1"/>
  <c r="BV36" i="9"/>
  <c r="BV58" i="9" s="1"/>
  <c r="AJ36" i="9"/>
  <c r="AJ58" i="9" s="1"/>
  <c r="S36" i="9"/>
  <c r="S58" i="9" s="1"/>
  <c r="BR36" i="9"/>
  <c r="BR58" i="9" s="1"/>
  <c r="AF36" i="9"/>
  <c r="AF58" i="9" s="1"/>
  <c r="AM36" i="9"/>
  <c r="AE36" i="9"/>
  <c r="L36" i="9"/>
  <c r="M36" i="9"/>
  <c r="M58" i="9" s="1"/>
  <c r="R36" i="9"/>
  <c r="R46" i="9" s="1"/>
  <c r="BD36" i="9"/>
  <c r="BU36" i="9"/>
  <c r="BU58" i="9" s="1"/>
  <c r="AI36" i="9"/>
  <c r="AI58" i="9" s="1"/>
  <c r="Q36" i="9"/>
  <c r="Q58" i="9" s="1"/>
  <c r="AN36" i="9"/>
  <c r="AN58" i="9" s="1"/>
  <c r="BH36" i="9"/>
  <c r="AD36" i="9"/>
  <c r="AD46" i="9" s="1"/>
  <c r="AB36" i="9"/>
  <c r="AB58" i="9" s="1"/>
  <c r="AZ36" i="9"/>
  <c r="AC36" i="9"/>
  <c r="BA36" i="9"/>
  <c r="AL36" i="9"/>
  <c r="CA36" i="9"/>
  <c r="CA58" i="9" s="1"/>
  <c r="AS36" i="9"/>
  <c r="BS36" i="9"/>
  <c r="E36" i="9"/>
  <c r="E46" i="9" s="1"/>
  <c r="AQ36" i="9"/>
  <c r="Y36" i="9"/>
  <c r="Y58" i="9" s="1"/>
  <c r="BG36" i="9"/>
  <c r="BG58" i="9" s="1"/>
  <c r="AY36" i="9"/>
  <c r="AR36" i="9"/>
  <c r="BE36" i="9"/>
  <c r="BW36" i="9"/>
  <c r="BW58" i="9" s="1"/>
  <c r="V36" i="9"/>
  <c r="V58" i="9" s="1"/>
  <c r="AV36" i="9"/>
  <c r="AV58" i="9" s="1"/>
  <c r="AG36" i="9"/>
  <c r="AG58" i="9" s="1"/>
  <c r="CB36" i="9"/>
  <c r="CB58" i="9" s="1"/>
  <c r="C24" i="17"/>
  <c r="H36" i="9"/>
  <c r="H58" i="9" s="1"/>
  <c r="BC46" i="9"/>
  <c r="AK44" i="9"/>
  <c r="AK59" i="9" s="1"/>
  <c r="X46" i="9"/>
  <c r="X53" i="9" s="1"/>
  <c r="X63" i="9" s="1"/>
  <c r="AQ46" i="9"/>
  <c r="T44" i="9"/>
  <c r="T59" i="9" s="1"/>
  <c r="BG44" i="9"/>
  <c r="BG59" i="9" s="1"/>
  <c r="BP44" i="9"/>
  <c r="BP59" i="9" s="1"/>
  <c r="BD44" i="9"/>
  <c r="BD59" i="9" s="1"/>
  <c r="AQ58" i="9"/>
  <c r="D33" i="17"/>
  <c r="BV46" i="9"/>
  <c r="BV53" i="9" s="1"/>
  <c r="BV63" i="9" s="1"/>
  <c r="AP46" i="9"/>
  <c r="BR46" i="9"/>
  <c r="BR53" i="9" s="1"/>
  <c r="BR63" i="9" s="1"/>
  <c r="BB46" i="9"/>
  <c r="BB53" i="9" s="1"/>
  <c r="BB63" i="9" s="1"/>
  <c r="AA46" i="9"/>
  <c r="AA61" i="9" s="1"/>
  <c r="AN46" i="9"/>
  <c r="AN61" i="9" s="1"/>
  <c r="P53" i="9"/>
  <c r="P63" i="9" s="1"/>
  <c r="L24" i="11"/>
  <c r="L51" i="11" s="1"/>
  <c r="AV24" i="11"/>
  <c r="AV51" i="11" s="1"/>
  <c r="AO24" i="11"/>
  <c r="AO51" i="11" s="1"/>
  <c r="AP24" i="11"/>
  <c r="AP51" i="11" s="1"/>
  <c r="BB24" i="11"/>
  <c r="BB51" i="11" s="1"/>
  <c r="BA24" i="11"/>
  <c r="BA51" i="11" s="1"/>
  <c r="AR58" i="10"/>
  <c r="V58" i="10"/>
  <c r="O58" i="10"/>
  <c r="BE58" i="10"/>
  <c r="BL58" i="10"/>
  <c r="BL65" i="10" s="1"/>
  <c r="BL72" i="10" s="1"/>
  <c r="R58" i="10"/>
  <c r="R65" i="10" s="1"/>
  <c r="R72" i="10" s="1"/>
  <c r="BW58" i="10"/>
  <c r="BW65" i="10" s="1"/>
  <c r="BW72" i="10" s="1"/>
  <c r="BP58" i="10"/>
  <c r="BP70" i="10" s="1"/>
  <c r="BX58" i="10"/>
  <c r="BX70" i="10" s="1"/>
  <c r="BG58" i="10"/>
  <c r="BG65" i="10" s="1"/>
  <c r="BG72" i="10" s="1"/>
  <c r="AI58" i="10"/>
  <c r="AI65" i="10" s="1"/>
  <c r="AI72" i="10" s="1"/>
  <c r="AN58" i="10"/>
  <c r="AN65" i="10" s="1"/>
  <c r="AN72" i="10" s="1"/>
  <c r="AG58" i="10"/>
  <c r="BT58" i="10"/>
  <c r="BT65" i="10" s="1"/>
  <c r="BT72" i="10" s="1"/>
  <c r="AE58" i="10"/>
  <c r="AE65" i="10" s="1"/>
  <c r="AE72" i="10" s="1"/>
  <c r="G58" i="10"/>
  <c r="G70" i="10" s="1"/>
  <c r="Q58" i="10"/>
  <c r="Q70" i="10" s="1"/>
  <c r="AN70" i="10"/>
  <c r="BJ59" i="9"/>
  <c r="BJ46" i="9"/>
  <c r="AD58" i="10"/>
  <c r="AD65" i="10" s="1"/>
  <c r="AD72" i="10" s="1"/>
  <c r="AW58" i="10"/>
  <c r="AW70" i="10" s="1"/>
  <c r="I46" i="9"/>
  <c r="I61" i="9" s="1"/>
  <c r="AT58" i="10"/>
  <c r="AT65" i="10" s="1"/>
  <c r="AT72" i="10" s="1"/>
  <c r="F58" i="10"/>
  <c r="F65" i="10" s="1"/>
  <c r="F72" i="10" s="1"/>
  <c r="BU58" i="10"/>
  <c r="BH58" i="10"/>
  <c r="BH70" i="10" s="1"/>
  <c r="AY70" i="10"/>
  <c r="X58" i="10"/>
  <c r="X70" i="10" s="1"/>
  <c r="AI46" i="9"/>
  <c r="AI53" i="9" s="1"/>
  <c r="AI63" i="9" s="1"/>
  <c r="BM58" i="10"/>
  <c r="BM70" i="10" s="1"/>
  <c r="AV58" i="10"/>
  <c r="AV65" i="10" s="1"/>
  <c r="AV72" i="10" s="1"/>
  <c r="AT46" i="9"/>
  <c r="AT53" i="9" s="1"/>
  <c r="AT63" i="9" s="1"/>
  <c r="J58" i="10"/>
  <c r="J70" i="10" s="1"/>
  <c r="T58" i="10"/>
  <c r="AV46" i="9"/>
  <c r="AV53" i="9" s="1"/>
  <c r="AV63" i="9" s="1"/>
  <c r="S46" i="9"/>
  <c r="S61" i="9" s="1"/>
  <c r="AF58" i="10"/>
  <c r="AF70" i="10" s="1"/>
  <c r="AG70" i="10"/>
  <c r="AG65" i="10"/>
  <c r="AG72" i="10" s="1"/>
  <c r="AG59" i="9"/>
  <c r="AG46" i="9"/>
  <c r="AG61" i="9" s="1"/>
  <c r="CA46" i="9"/>
  <c r="CA61" i="9" s="1"/>
  <c r="BL46" i="9"/>
  <c r="BL53" i="9" s="1"/>
  <c r="BL63" i="9" s="1"/>
  <c r="BD58" i="10"/>
  <c r="Y58" i="10"/>
  <c r="Y70" i="10" s="1"/>
  <c r="AH58" i="10"/>
  <c r="AH70" i="10" s="1"/>
  <c r="AX58" i="10"/>
  <c r="AX70" i="10" s="1"/>
  <c r="AU46" i="9"/>
  <c r="AU61" i="9" s="1"/>
  <c r="W58" i="10"/>
  <c r="J24" i="11"/>
  <c r="J51" i="11" s="1"/>
  <c r="AJ58" i="10"/>
  <c r="AJ70" i="10" s="1"/>
  <c r="X24" i="11"/>
  <c r="X51" i="11" s="1"/>
  <c r="R24" i="11"/>
  <c r="R51" i="11" s="1"/>
  <c r="BO58" i="10"/>
  <c r="BO70" i="10" s="1"/>
  <c r="BK46" i="9"/>
  <c r="BK53" i="9" s="1"/>
  <c r="BK63" i="9" s="1"/>
  <c r="BU46" i="9"/>
  <c r="BU53" i="9" s="1"/>
  <c r="BU63" i="9" s="1"/>
  <c r="H46" i="9"/>
  <c r="H53" i="9" s="1"/>
  <c r="H63" i="9" s="1"/>
  <c r="N58" i="10"/>
  <c r="AZ58" i="10"/>
  <c r="AZ70" i="10" s="1"/>
  <c r="AH24" i="11"/>
  <c r="AH51" i="11" s="1"/>
  <c r="AH35" i="11"/>
  <c r="AH52" i="11" s="1"/>
  <c r="P35" i="11"/>
  <c r="P52" i="11" s="1"/>
  <c r="H58" i="10"/>
  <c r="H70" i="10" s="1"/>
  <c r="AJ35" i="11"/>
  <c r="AJ52" i="11" s="1"/>
  <c r="E35" i="11"/>
  <c r="E52" i="11" s="1"/>
  <c r="AQ24" i="11"/>
  <c r="AQ51" i="11" s="1"/>
  <c r="AB35" i="11"/>
  <c r="AB52" i="11" s="1"/>
  <c r="E24" i="11"/>
  <c r="E51" i="11" s="1"/>
  <c r="BY58" i="10"/>
  <c r="BY65" i="10" s="1"/>
  <c r="BY72" i="10" s="1"/>
  <c r="AO58" i="10"/>
  <c r="D33" i="10"/>
  <c r="D34" i="15" s="1"/>
  <c r="D32" i="15"/>
  <c r="Y46" i="9"/>
  <c r="Y53" i="9" s="1"/>
  <c r="Y63" i="9" s="1"/>
  <c r="AO35" i="11"/>
  <c r="AO52" i="11" s="1"/>
  <c r="M58" i="10"/>
  <c r="M70" i="10" s="1"/>
  <c r="BZ24" i="11"/>
  <c r="BZ51" i="11" s="1"/>
  <c r="AC58" i="10"/>
  <c r="AC65" i="10" s="1"/>
  <c r="AC72" i="10" s="1"/>
  <c r="AU58" i="10"/>
  <c r="AU70" i="10" s="1"/>
  <c r="AS35" i="11"/>
  <c r="AS52" i="11" s="1"/>
  <c r="L58" i="10"/>
  <c r="L70" i="10" s="1"/>
  <c r="E58" i="10"/>
  <c r="E65" i="10" s="1"/>
  <c r="E72" i="10" s="1"/>
  <c r="F35" i="11"/>
  <c r="F52" i="11" s="1"/>
  <c r="D30" i="15"/>
  <c r="AO58" i="9"/>
  <c r="BF35" i="11"/>
  <c r="BF52" i="11" s="1"/>
  <c r="AG35" i="11"/>
  <c r="AG52" i="11" s="1"/>
  <c r="AD35" i="11"/>
  <c r="AD52" i="11" s="1"/>
  <c r="K58" i="10"/>
  <c r="CA58" i="10"/>
  <c r="CA70" i="10" s="1"/>
  <c r="BZ58" i="10"/>
  <c r="BZ70" i="10" s="1"/>
  <c r="AF46" i="9"/>
  <c r="I58" i="10"/>
  <c r="K35" i="11"/>
  <c r="K52" i="11" s="1"/>
  <c r="Q46" i="9"/>
  <c r="Q61" i="9" s="1"/>
  <c r="T35" i="11"/>
  <c r="T52" i="11" s="1"/>
  <c r="BY35" i="11"/>
  <c r="BY52" i="11" s="1"/>
  <c r="BV58" i="10"/>
  <c r="BV70" i="10" s="1"/>
  <c r="Z58" i="10"/>
  <c r="Z70" i="10" s="1"/>
  <c r="CB58" i="10"/>
  <c r="D49" i="15"/>
  <c r="D47" i="15"/>
  <c r="G46" i="11"/>
  <c r="G53" i="11" s="1"/>
  <c r="R35" i="11"/>
  <c r="R52" i="11" s="1"/>
  <c r="AX24" i="11"/>
  <c r="AX51" i="11" s="1"/>
  <c r="AL58" i="10"/>
  <c r="AL65" i="10" s="1"/>
  <c r="AL72" i="10" s="1"/>
  <c r="BN58" i="10"/>
  <c r="BN70" i="10" s="1"/>
  <c r="T58" i="9"/>
  <c r="T46" i="9"/>
  <c r="AQ58" i="10"/>
  <c r="AR70" i="10"/>
  <c r="AR65" i="10"/>
  <c r="AR72" i="10" s="1"/>
  <c r="K65" i="10"/>
  <c r="K72" i="10" s="1"/>
  <c r="K70" i="10"/>
  <c r="BH65" i="10"/>
  <c r="BH72" i="10" s="1"/>
  <c r="D43" i="17"/>
  <c r="BH58" i="9"/>
  <c r="BH46" i="9"/>
  <c r="AK46" i="9"/>
  <c r="AK58" i="9"/>
  <c r="O58" i="9"/>
  <c r="O46" i="9"/>
  <c r="BY46" i="9"/>
  <c r="BY58" i="9"/>
  <c r="I53" i="9"/>
  <c r="I63" i="9" s="1"/>
  <c r="O46" i="11"/>
  <c r="O53" i="11" s="1"/>
  <c r="BF58" i="9"/>
  <c r="BF46" i="9"/>
  <c r="P65" i="9"/>
  <c r="E20" i="19" s="1"/>
  <c r="BQ46" i="11"/>
  <c r="BQ53" i="11" s="1"/>
  <c r="C34" i="16"/>
  <c r="G35" i="11"/>
  <c r="G52" i="11" s="1"/>
  <c r="N35" i="11"/>
  <c r="N52" i="11" s="1"/>
  <c r="U35" i="11"/>
  <c r="U52" i="11" s="1"/>
  <c r="AC35" i="11"/>
  <c r="AC52" i="11" s="1"/>
  <c r="AK35" i="11"/>
  <c r="AK52" i="11" s="1"/>
  <c r="L35" i="11"/>
  <c r="L52" i="11" s="1"/>
  <c r="AV35" i="11"/>
  <c r="AV52" i="11" s="1"/>
  <c r="BD35" i="11"/>
  <c r="BD52" i="11" s="1"/>
  <c r="BL35" i="11"/>
  <c r="BL52" i="11" s="1"/>
  <c r="D35" i="11"/>
  <c r="AQ35" i="11"/>
  <c r="AQ52" i="11" s="1"/>
  <c r="AY35" i="11"/>
  <c r="AY52" i="11" s="1"/>
  <c r="AA35" i="11"/>
  <c r="AA52" i="11" s="1"/>
  <c r="BT35" i="11"/>
  <c r="BT52" i="11" s="1"/>
  <c r="S35" i="11"/>
  <c r="S52" i="11" s="1"/>
  <c r="BO35" i="11"/>
  <c r="BO52" i="11" s="1"/>
  <c r="BW35" i="11"/>
  <c r="BW52" i="11" s="1"/>
  <c r="AY24" i="11"/>
  <c r="AY51" i="11" s="1"/>
  <c r="Z35" i="11"/>
  <c r="Z52" i="11" s="1"/>
  <c r="K46" i="11"/>
  <c r="K53" i="11" s="1"/>
  <c r="AZ46" i="11"/>
  <c r="AZ53" i="11" s="1"/>
  <c r="AM46" i="11"/>
  <c r="AM53" i="11" s="1"/>
  <c r="T46" i="11"/>
  <c r="T53" i="11" s="1"/>
  <c r="BC46" i="11"/>
  <c r="BC53" i="11" s="1"/>
  <c r="J35" i="11"/>
  <c r="J52" i="11" s="1"/>
  <c r="AX46" i="11"/>
  <c r="AX53" i="11" s="1"/>
  <c r="AR24" i="11"/>
  <c r="AR51" i="11" s="1"/>
  <c r="BW24" i="11"/>
  <c r="BW51" i="11" s="1"/>
  <c r="AF35" i="11"/>
  <c r="AF52" i="11" s="1"/>
  <c r="BS35" i="11"/>
  <c r="BS52" i="11" s="1"/>
  <c r="R46" i="11"/>
  <c r="R53" i="11" s="1"/>
  <c r="CB24" i="11"/>
  <c r="CB51" i="11" s="1"/>
  <c r="BU46" i="11"/>
  <c r="BU53" i="11" s="1"/>
  <c r="AR35" i="11"/>
  <c r="AR52" i="11" s="1"/>
  <c r="BK24" i="11"/>
  <c r="BK51" i="11" s="1"/>
  <c r="AR46" i="11"/>
  <c r="AR53" i="11" s="1"/>
  <c r="O70" i="10"/>
  <c r="O65" i="10"/>
  <c r="O72" i="10" s="1"/>
  <c r="BQ58" i="10"/>
  <c r="CA46" i="11"/>
  <c r="CA53" i="11" s="1"/>
  <c r="BU70" i="10"/>
  <c r="BU65" i="10"/>
  <c r="BU72" i="10" s="1"/>
  <c r="Q46" i="11"/>
  <c r="Q53" i="11" s="1"/>
  <c r="P58" i="10"/>
  <c r="BA58" i="10"/>
  <c r="AB58" i="10"/>
  <c r="BK58" i="10"/>
  <c r="AK58" i="10"/>
  <c r="N65" i="10"/>
  <c r="N72" i="10" s="1"/>
  <c r="N70" i="10"/>
  <c r="BE70" i="10"/>
  <c r="BE65" i="10"/>
  <c r="BE72" i="10" s="1"/>
  <c r="BA58" i="9"/>
  <c r="BA46" i="9"/>
  <c r="BY46" i="11"/>
  <c r="BY53" i="11" s="1"/>
  <c r="D24" i="11"/>
  <c r="BG24" i="11"/>
  <c r="BG51" i="11" s="1"/>
  <c r="N46" i="11"/>
  <c r="N53" i="11" s="1"/>
  <c r="F58" i="9"/>
  <c r="F46" i="9"/>
  <c r="AM35" i="11"/>
  <c r="AM52" i="11" s="1"/>
  <c r="Y35" i="11"/>
  <c r="Y52" i="11" s="1"/>
  <c r="BC24" i="11"/>
  <c r="BC51" i="11" s="1"/>
  <c r="W46" i="11"/>
  <c r="W53" i="11" s="1"/>
  <c r="BJ46" i="11"/>
  <c r="BJ53" i="11" s="1"/>
  <c r="AT46" i="11"/>
  <c r="AT53" i="11" s="1"/>
  <c r="AW58" i="9"/>
  <c r="AW46" i="9"/>
  <c r="AH46" i="11"/>
  <c r="AH53" i="11" s="1"/>
  <c r="BV35" i="11"/>
  <c r="BV52" i="11" s="1"/>
  <c r="AI35" i="11"/>
  <c r="AI52" i="11" s="1"/>
  <c r="O35" i="11"/>
  <c r="O52" i="11" s="1"/>
  <c r="BU35" i="11"/>
  <c r="BU52" i="11" s="1"/>
  <c r="M46" i="11"/>
  <c r="M53" i="11" s="1"/>
  <c r="AU46" i="11"/>
  <c r="AU53" i="11" s="1"/>
  <c r="BN35" i="11"/>
  <c r="BN52" i="11" s="1"/>
  <c r="AZ35" i="11"/>
  <c r="AZ52" i="11" s="1"/>
  <c r="R58" i="9"/>
  <c r="BB58" i="10"/>
  <c r="X35" i="11"/>
  <c r="X52" i="11" s="1"/>
  <c r="W70" i="10"/>
  <c r="W65" i="10"/>
  <c r="W72" i="10" s="1"/>
  <c r="BI58" i="10"/>
  <c r="CB46" i="11"/>
  <c r="CB53" i="11" s="1"/>
  <c r="BM46" i="11"/>
  <c r="BM53" i="11" s="1"/>
  <c r="BP46" i="11"/>
  <c r="BP53" i="11" s="1"/>
  <c r="AD58" i="9"/>
  <c r="G58" i="9"/>
  <c r="G46" i="9"/>
  <c r="AY58" i="9"/>
  <c r="AY46" i="9"/>
  <c r="AE58" i="9"/>
  <c r="AE46" i="9"/>
  <c r="D58" i="9"/>
  <c r="D37" i="17"/>
  <c r="D46" i="9"/>
  <c r="AF24" i="11"/>
  <c r="AF51" i="11" s="1"/>
  <c r="Y24" i="11"/>
  <c r="Y51" i="11" s="1"/>
  <c r="BS58" i="9"/>
  <c r="BS46" i="9"/>
  <c r="I24" i="11"/>
  <c r="I51" i="11" s="1"/>
  <c r="H24" i="11"/>
  <c r="H51" i="11" s="1"/>
  <c r="BO24" i="11"/>
  <c r="BO51" i="11" s="1"/>
  <c r="AP35" i="11"/>
  <c r="AP52" i="11" s="1"/>
  <c r="V46" i="11"/>
  <c r="V53" i="11" s="1"/>
  <c r="BF24" i="11"/>
  <c r="BF51" i="11" s="1"/>
  <c r="G24" i="11"/>
  <c r="G51" i="11" s="1"/>
  <c r="AM24" i="11"/>
  <c r="AM51" i="11" s="1"/>
  <c r="AE46" i="11"/>
  <c r="AE53" i="11" s="1"/>
  <c r="BH24" i="11"/>
  <c r="BH51" i="11" s="1"/>
  <c r="W35" i="11"/>
  <c r="W52" i="11" s="1"/>
  <c r="BJ35" i="11"/>
  <c r="BJ52" i="11" s="1"/>
  <c r="O24" i="11"/>
  <c r="O51" i="11" s="1"/>
  <c r="AT35" i="11"/>
  <c r="AT52" i="11" s="1"/>
  <c r="AJ24" i="11"/>
  <c r="AJ51" i="11" s="1"/>
  <c r="BV24" i="11"/>
  <c r="BV51" i="11" s="1"/>
  <c r="BR24" i="11"/>
  <c r="BR51" i="11" s="1"/>
  <c r="AA58" i="10"/>
  <c r="AW35" i="11"/>
  <c r="AW52" i="11" s="1"/>
  <c r="V70" i="10"/>
  <c r="V65" i="10"/>
  <c r="V72" i="10" s="1"/>
  <c r="BU24" i="11"/>
  <c r="BU51" i="11" s="1"/>
  <c r="M35" i="11"/>
  <c r="M52" i="11" s="1"/>
  <c r="AU35" i="11"/>
  <c r="AU52" i="11" s="1"/>
  <c r="BN24" i="11"/>
  <c r="BN51" i="11" s="1"/>
  <c r="S58" i="10"/>
  <c r="BJ58" i="10"/>
  <c r="BC58" i="10"/>
  <c r="AS24" i="11"/>
  <c r="AS51" i="11" s="1"/>
  <c r="Z59" i="9"/>
  <c r="Z46" i="9"/>
  <c r="AP46" i="11"/>
  <c r="AP53" i="11" s="1"/>
  <c r="Y46" i="11"/>
  <c r="Y53" i="11" s="1"/>
  <c r="T70" i="10"/>
  <c r="T65" i="10"/>
  <c r="T72" i="10" s="1"/>
  <c r="BD46" i="11"/>
  <c r="BD53" i="11" s="1"/>
  <c r="BT58" i="9"/>
  <c r="BT46" i="9"/>
  <c r="D59" i="9"/>
  <c r="D45" i="17"/>
  <c r="BM58" i="9"/>
  <c r="BM46" i="9"/>
  <c r="BD58" i="9"/>
  <c r="L58" i="9"/>
  <c r="L46" i="9"/>
  <c r="M46" i="9"/>
  <c r="F24" i="11"/>
  <c r="F51" i="11" s="1"/>
  <c r="BV61" i="9"/>
  <c r="AN24" i="11"/>
  <c r="AN51" i="11" s="1"/>
  <c r="AG24" i="11"/>
  <c r="AG51" i="11" s="1"/>
  <c r="Q24" i="11"/>
  <c r="Q51" i="11" s="1"/>
  <c r="BQ58" i="9"/>
  <c r="BQ46" i="9"/>
  <c r="P24" i="11"/>
  <c r="P51" i="11" s="1"/>
  <c r="V35" i="11"/>
  <c r="V52" i="11" s="1"/>
  <c r="BF46" i="11"/>
  <c r="BF53" i="11" s="1"/>
  <c r="N24" i="11"/>
  <c r="N51" i="11" s="1"/>
  <c r="BA35" i="11"/>
  <c r="BA52" i="11" s="1"/>
  <c r="AE35" i="11"/>
  <c r="AE52" i="11" s="1"/>
  <c r="BM24" i="11"/>
  <c r="BM51" i="11" s="1"/>
  <c r="W24" i="11"/>
  <c r="W51" i="11" s="1"/>
  <c r="BP35" i="11"/>
  <c r="BP52" i="11" s="1"/>
  <c r="Q35" i="11"/>
  <c r="Q52" i="11" s="1"/>
  <c r="BE35" i="11"/>
  <c r="BE52" i="11" s="1"/>
  <c r="AT24" i="11"/>
  <c r="AT51" i="11" s="1"/>
  <c r="BV46" i="11"/>
  <c r="BV53" i="11" s="1"/>
  <c r="BZ46" i="11"/>
  <c r="BZ53" i="11" s="1"/>
  <c r="BB46" i="11"/>
  <c r="BB53" i="11" s="1"/>
  <c r="BW46" i="11"/>
  <c r="BW53" i="11" s="1"/>
  <c r="M24" i="11"/>
  <c r="M51" i="11" s="1"/>
  <c r="AU24" i="11"/>
  <c r="AU51" i="11" s="1"/>
  <c r="BN46" i="11"/>
  <c r="BN53" i="11" s="1"/>
  <c r="U58" i="10"/>
  <c r="T24" i="11"/>
  <c r="T51" i="11" s="1"/>
  <c r="BR58" i="10"/>
  <c r="AE70" i="10"/>
  <c r="AP58" i="10"/>
  <c r="AS58" i="10"/>
  <c r="U46" i="9"/>
  <c r="U58" i="9"/>
  <c r="H46" i="11"/>
  <c r="H53" i="11" s="1"/>
  <c r="P46" i="11"/>
  <c r="P53" i="11" s="1"/>
  <c r="D46" i="11"/>
  <c r="S46" i="11"/>
  <c r="S53" i="11" s="1"/>
  <c r="AA46" i="11"/>
  <c r="AA53" i="11" s="1"/>
  <c r="AI46" i="11"/>
  <c r="AI53" i="11" s="1"/>
  <c r="AQ46" i="11"/>
  <c r="AQ53" i="11" s="1"/>
  <c r="U46" i="11"/>
  <c r="U53" i="11" s="1"/>
  <c r="AC46" i="11"/>
  <c r="AC53" i="11" s="1"/>
  <c r="AK46" i="11"/>
  <c r="AK53" i="11" s="1"/>
  <c r="AS46" i="11"/>
  <c r="AS53" i="11" s="1"/>
  <c r="BA46" i="11"/>
  <c r="BA53" i="11" s="1"/>
  <c r="BI46" i="11"/>
  <c r="BI53" i="11" s="1"/>
  <c r="C45" i="16"/>
  <c r="X46" i="11"/>
  <c r="X53" i="11" s="1"/>
  <c r="BG46" i="11"/>
  <c r="BG53" i="11" s="1"/>
  <c r="I46" i="11"/>
  <c r="I53" i="11" s="1"/>
  <c r="AY46" i="11"/>
  <c r="AY53" i="11" s="1"/>
  <c r="AV46" i="11"/>
  <c r="AV53" i="11" s="1"/>
  <c r="BT46" i="11"/>
  <c r="BT53" i="11" s="1"/>
  <c r="L65" i="10"/>
  <c r="L72" i="10" s="1"/>
  <c r="BK46" i="11"/>
  <c r="BK53" i="11" s="1"/>
  <c r="CA65" i="10"/>
  <c r="CA72" i="10" s="1"/>
  <c r="J59" i="9"/>
  <c r="J46" i="9"/>
  <c r="AC46" i="9"/>
  <c r="AC58" i="9"/>
  <c r="BJ53" i="9"/>
  <c r="BJ63" i="9" s="1"/>
  <c r="BJ61" i="9"/>
  <c r="S24" i="11"/>
  <c r="S51" i="11" s="1"/>
  <c r="BQ24" i="11"/>
  <c r="BQ51" i="11" s="1"/>
  <c r="BM35" i="11"/>
  <c r="BM52" i="11" s="1"/>
  <c r="AE24" i="11"/>
  <c r="AE51" i="11" s="1"/>
  <c r="BT24" i="11"/>
  <c r="BT51" i="11" s="1"/>
  <c r="AC24" i="11"/>
  <c r="AC51" i="11" s="1"/>
  <c r="BS46" i="11"/>
  <c r="BS53" i="11" s="1"/>
  <c r="U24" i="11"/>
  <c r="U51" i="11" s="1"/>
  <c r="BH35" i="11"/>
  <c r="BH52" i="11" s="1"/>
  <c r="AZ24" i="11"/>
  <c r="AZ51" i="11" s="1"/>
  <c r="BX46" i="11"/>
  <c r="BX53" i="11" s="1"/>
  <c r="CB35" i="11"/>
  <c r="CB52" i="11" s="1"/>
  <c r="BB35" i="11"/>
  <c r="BB52" i="11" s="1"/>
  <c r="BZ35" i="11"/>
  <c r="BZ52" i="11" s="1"/>
  <c r="AB24" i="11"/>
  <c r="AB51" i="11" s="1"/>
  <c r="BC35" i="11"/>
  <c r="BC52" i="11" s="1"/>
  <c r="Z46" i="11"/>
  <c r="Z53" i="11" s="1"/>
  <c r="CA35" i="11"/>
  <c r="CA52" i="11" s="1"/>
  <c r="BL70" i="10"/>
  <c r="AF46" i="11"/>
  <c r="AF53" i="11" s="1"/>
  <c r="AM58" i="10"/>
  <c r="BI24" i="11"/>
  <c r="BI51" i="11" s="1"/>
  <c r="BG35" i="11"/>
  <c r="BG52" i="11" s="1"/>
  <c r="W58" i="9"/>
  <c r="W46" i="9"/>
  <c r="BO58" i="9"/>
  <c r="BO46" i="9"/>
  <c r="AZ46" i="9"/>
  <c r="AZ58" i="9"/>
  <c r="AL46" i="9"/>
  <c r="AL58" i="9"/>
  <c r="BX46" i="9"/>
  <c r="BX58" i="9"/>
  <c r="AR58" i="9"/>
  <c r="AR46" i="9"/>
  <c r="BE46" i="9"/>
  <c r="BE58" i="9"/>
  <c r="BW46" i="9"/>
  <c r="AH58" i="9"/>
  <c r="AH46" i="9"/>
  <c r="K24" i="11"/>
  <c r="K51" i="11" s="1"/>
  <c r="BD24" i="11"/>
  <c r="BD51" i="11" s="1"/>
  <c r="AQ61" i="9"/>
  <c r="AQ53" i="9"/>
  <c r="AQ63" i="9" s="1"/>
  <c r="AW24" i="11"/>
  <c r="AW51" i="11" s="1"/>
  <c r="Z24" i="11"/>
  <c r="Z51" i="11" s="1"/>
  <c r="AO53" i="9"/>
  <c r="AO63" i="9" s="1"/>
  <c r="AO61" i="9"/>
  <c r="AA24" i="11"/>
  <c r="AA51" i="11" s="1"/>
  <c r="E46" i="11"/>
  <c r="E53" i="11" s="1"/>
  <c r="E55" i="11" s="1"/>
  <c r="F9" i="19" s="1"/>
  <c r="AJ46" i="11"/>
  <c r="AJ53" i="11" s="1"/>
  <c r="BY24" i="11"/>
  <c r="BY51" i="11" s="1"/>
  <c r="V24" i="11"/>
  <c r="V51" i="11" s="1"/>
  <c r="BP24" i="11"/>
  <c r="BP51" i="11" s="1"/>
  <c r="AK24" i="11"/>
  <c r="AK51" i="11" s="1"/>
  <c r="BC61" i="9"/>
  <c r="BC53" i="9"/>
  <c r="BC63" i="9" s="1"/>
  <c r="AO46" i="11"/>
  <c r="AO53" i="11" s="1"/>
  <c r="BS24" i="11"/>
  <c r="BS51" i="11" s="1"/>
  <c r="AG46" i="11"/>
  <c r="AG53" i="11" s="1"/>
  <c r="BJ24" i="11"/>
  <c r="BJ51" i="11" s="1"/>
  <c r="F46" i="11"/>
  <c r="F53" i="11" s="1"/>
  <c r="BE24" i="11"/>
  <c r="BE51" i="11" s="1"/>
  <c r="CA24" i="11"/>
  <c r="CA51" i="11" s="1"/>
  <c r="BO46" i="11"/>
  <c r="BO53" i="11" s="1"/>
  <c r="AL46" i="11"/>
  <c r="AL53" i="11" s="1"/>
  <c r="AD24" i="11"/>
  <c r="AD51" i="11" s="1"/>
  <c r="BE46" i="11"/>
  <c r="BE53" i="11" s="1"/>
  <c r="BI35" i="11"/>
  <c r="BI52" i="11" s="1"/>
  <c r="AL24" i="11"/>
  <c r="AL51" i="11" s="1"/>
  <c r="H35" i="11"/>
  <c r="H52" i="11" s="1"/>
  <c r="BL46" i="11"/>
  <c r="BL53" i="11" s="1"/>
  <c r="BF58" i="10"/>
  <c r="BS58" i="10"/>
  <c r="AY74" i="10"/>
  <c r="D55" i="19" s="1"/>
  <c r="BI46" i="9"/>
  <c r="BI58" i="9"/>
  <c r="AX46" i="9"/>
  <c r="AX58" i="9"/>
  <c r="AM58" i="9"/>
  <c r="AM46" i="9"/>
  <c r="N58" i="9"/>
  <c r="N46" i="9"/>
  <c r="BP58" i="9"/>
  <c r="AS46" i="9"/>
  <c r="AS58" i="9"/>
  <c r="AU53" i="9"/>
  <c r="AU63" i="9" s="1"/>
  <c r="BN46" i="9"/>
  <c r="BN58" i="9"/>
  <c r="BZ58" i="9"/>
  <c r="BZ46" i="9"/>
  <c r="BB61" i="9"/>
  <c r="AI24" i="11"/>
  <c r="AI51" i="11" s="1"/>
  <c r="J46" i="11"/>
  <c r="J53" i="11" s="1"/>
  <c r="AB46" i="11"/>
  <c r="AB53" i="11" s="1"/>
  <c r="BX24" i="11"/>
  <c r="BX51" i="11" s="1"/>
  <c r="AW46" i="11"/>
  <c r="AW53" i="11" s="1"/>
  <c r="AX35" i="11"/>
  <c r="AX52" i="11" s="1"/>
  <c r="BX35" i="11"/>
  <c r="BX52" i="11" s="1"/>
  <c r="AN35" i="11"/>
  <c r="AN52" i="11" s="1"/>
  <c r="BL24" i="11"/>
  <c r="BL51" i="11" s="1"/>
  <c r="L46" i="11"/>
  <c r="L53" i="11" s="1"/>
  <c r="BH46" i="11"/>
  <c r="BH53" i="11" s="1"/>
  <c r="BR35" i="11"/>
  <c r="BR52" i="11" s="1"/>
  <c r="AL35" i="11"/>
  <c r="AL52" i="11" s="1"/>
  <c r="AD46" i="11"/>
  <c r="AD53" i="11" s="1"/>
  <c r="BK35" i="11"/>
  <c r="BK52" i="11" s="1"/>
  <c r="AP53" i="9"/>
  <c r="AP63" i="9" s="1"/>
  <c r="AP61" i="9"/>
  <c r="BQ35" i="11"/>
  <c r="BQ52" i="11" s="1"/>
  <c r="BR46" i="11"/>
  <c r="BR53" i="11" s="1"/>
  <c r="AX65" i="10"/>
  <c r="AX72" i="10" s="1"/>
  <c r="E58" i="9" l="1"/>
  <c r="CA53" i="9"/>
  <c r="CA63" i="9" s="1"/>
  <c r="X61" i="9"/>
  <c r="X65" i="9" s="1"/>
  <c r="E28" i="19" s="1"/>
  <c r="AB46" i="9"/>
  <c r="V46" i="9"/>
  <c r="K46" i="9"/>
  <c r="K58" i="9"/>
  <c r="C58" i="9" s="1"/>
  <c r="C59" i="17" s="1"/>
  <c r="CB46" i="9"/>
  <c r="CB53" i="9" s="1"/>
  <c r="CB63" i="9" s="1"/>
  <c r="AJ46" i="9"/>
  <c r="AJ61" i="9" s="1"/>
  <c r="BG46" i="9"/>
  <c r="BK61" i="9"/>
  <c r="AN53" i="9"/>
  <c r="AN63" i="9" s="1"/>
  <c r="BP46" i="9"/>
  <c r="Q53" i="9"/>
  <c r="Q63" i="9" s="1"/>
  <c r="Q65" i="9" s="1"/>
  <c r="E21" i="19" s="1"/>
  <c r="BD46" i="9"/>
  <c r="BD53" i="9" s="1"/>
  <c r="BD63" i="9" s="1"/>
  <c r="AA53" i="9"/>
  <c r="AA63" i="9" s="1"/>
  <c r="AA65" i="9" s="1"/>
  <c r="E31" i="19" s="1"/>
  <c r="BR61" i="9"/>
  <c r="BR65" i="9" s="1"/>
  <c r="E74" i="19" s="1"/>
  <c r="Y61" i="9"/>
  <c r="Y65" i="9" s="1"/>
  <c r="E29" i="19" s="1"/>
  <c r="AG53" i="9"/>
  <c r="AG63" i="9" s="1"/>
  <c r="AV61" i="9"/>
  <c r="AV65" i="9" s="1"/>
  <c r="E52" i="19" s="1"/>
  <c r="H61" i="9"/>
  <c r="BL61" i="9"/>
  <c r="BL65" i="9" s="1"/>
  <c r="E68" i="19" s="1"/>
  <c r="AT61" i="9"/>
  <c r="AT65" i="9" s="1"/>
  <c r="E50" i="19" s="1"/>
  <c r="AV55" i="11"/>
  <c r="F52" i="19" s="1"/>
  <c r="R55" i="11"/>
  <c r="F22" i="19" s="1"/>
  <c r="BD55" i="11"/>
  <c r="F60" i="19" s="1"/>
  <c r="T55" i="11"/>
  <c r="F24" i="19" s="1"/>
  <c r="AA55" i="11"/>
  <c r="F31" i="19" s="1"/>
  <c r="AG55" i="11"/>
  <c r="F37" i="19" s="1"/>
  <c r="X55" i="11"/>
  <c r="F28" i="19" s="1"/>
  <c r="BM55" i="11"/>
  <c r="F69" i="19" s="1"/>
  <c r="AH55" i="11"/>
  <c r="F38" i="19" s="1"/>
  <c r="BW70" i="10"/>
  <c r="R70" i="10"/>
  <c r="AD70" i="10"/>
  <c r="BT70" i="10"/>
  <c r="AC70" i="10"/>
  <c r="Y65" i="10"/>
  <c r="Y72" i="10" s="1"/>
  <c r="Y74" i="10" s="1"/>
  <c r="D29" i="19" s="1"/>
  <c r="BY70" i="10"/>
  <c r="BP65" i="10"/>
  <c r="BP72" i="10" s="1"/>
  <c r="BP74" i="10" s="1"/>
  <c r="D72" i="19" s="1"/>
  <c r="BX65" i="10"/>
  <c r="BX72" i="10" s="1"/>
  <c r="AT70" i="10"/>
  <c r="AN74" i="10"/>
  <c r="D44" i="19" s="1"/>
  <c r="AV70" i="10"/>
  <c r="AV74" i="10" s="1"/>
  <c r="D52" i="19" s="1"/>
  <c r="F70" i="10"/>
  <c r="F74" i="10" s="1"/>
  <c r="D10" i="19" s="1"/>
  <c r="BM65" i="10"/>
  <c r="BM72" i="10" s="1"/>
  <c r="AG74" i="10"/>
  <c r="D37" i="19" s="1"/>
  <c r="BG70" i="10"/>
  <c r="BG74" i="10" s="1"/>
  <c r="D63" i="19" s="1"/>
  <c r="AH65" i="10"/>
  <c r="AH72" i="10" s="1"/>
  <c r="N74" i="10"/>
  <c r="D18" i="19" s="1"/>
  <c r="AL70" i="10"/>
  <c r="Q65" i="10"/>
  <c r="Q72" i="10" s="1"/>
  <c r="Q74" i="10" s="1"/>
  <c r="D21" i="19" s="1"/>
  <c r="M65" i="10"/>
  <c r="M72" i="10" s="1"/>
  <c r="E70" i="10"/>
  <c r="E74" i="10" s="1"/>
  <c r="D9" i="19" s="1"/>
  <c r="BZ65" i="10"/>
  <c r="BZ72" i="10" s="1"/>
  <c r="BZ74" i="10" s="1"/>
  <c r="D82" i="19" s="1"/>
  <c r="AF65" i="10"/>
  <c r="AF72" i="10" s="1"/>
  <c r="AF74" i="10" s="1"/>
  <c r="D36" i="19" s="1"/>
  <c r="AI70" i="10"/>
  <c r="AI74" i="10" s="1"/>
  <c r="D39" i="19" s="1"/>
  <c r="G65" i="10"/>
  <c r="G72" i="10" s="1"/>
  <c r="G74" i="10" s="1"/>
  <c r="D11" i="19" s="1"/>
  <c r="BO65" i="10"/>
  <c r="BO72" i="10" s="1"/>
  <c r="BO74" i="10" s="1"/>
  <c r="D71" i="19" s="1"/>
  <c r="BV65" i="10"/>
  <c r="BV72" i="10" s="1"/>
  <c r="BV74" i="10" s="1"/>
  <c r="D78" i="19" s="1"/>
  <c r="AW65" i="10"/>
  <c r="AW72" i="10" s="1"/>
  <c r="AW74" i="10" s="1"/>
  <c r="D53" i="19" s="1"/>
  <c r="W55" i="11"/>
  <c r="F27" i="19" s="1"/>
  <c r="AJ65" i="10"/>
  <c r="AJ72" i="10" s="1"/>
  <c r="AJ74" i="10" s="1"/>
  <c r="D40" i="19" s="1"/>
  <c r="AI61" i="9"/>
  <c r="AI65" i="9" s="1"/>
  <c r="E39" i="19" s="1"/>
  <c r="G55" i="11"/>
  <c r="F11" i="19" s="1"/>
  <c r="X65" i="10"/>
  <c r="X72" i="10" s="1"/>
  <c r="X74" i="10" s="1"/>
  <c r="D28" i="19" s="1"/>
  <c r="AW55" i="11"/>
  <c r="F53" i="19" s="1"/>
  <c r="J65" i="10"/>
  <c r="J72" i="10" s="1"/>
  <c r="J74" i="10" s="1"/>
  <c r="D14" i="19" s="1"/>
  <c r="BU61" i="9"/>
  <c r="BU65" i="9" s="1"/>
  <c r="E77" i="19" s="1"/>
  <c r="J55" i="11"/>
  <c r="F14" i="19" s="1"/>
  <c r="AQ55" i="11"/>
  <c r="F47" i="19" s="1"/>
  <c r="K74" i="10"/>
  <c r="D15" i="19" s="1"/>
  <c r="S53" i="9"/>
  <c r="S63" i="9" s="1"/>
  <c r="S65" i="9" s="1"/>
  <c r="E23" i="19" s="1"/>
  <c r="BD70" i="10"/>
  <c r="BD65" i="10"/>
  <c r="BD72" i="10" s="1"/>
  <c r="BY74" i="10"/>
  <c r="D81" i="19" s="1"/>
  <c r="BZ55" i="11"/>
  <c r="F82" i="19" s="1"/>
  <c r="AZ65" i="10"/>
  <c r="AZ72" i="10" s="1"/>
  <c r="AZ74" i="10" s="1"/>
  <c r="D56" i="19" s="1"/>
  <c r="D58" i="10"/>
  <c r="K55" i="11"/>
  <c r="F15" i="19" s="1"/>
  <c r="AE74" i="10"/>
  <c r="D35" i="19" s="1"/>
  <c r="AT55" i="11"/>
  <c r="F50" i="19" s="1"/>
  <c r="N55" i="11"/>
  <c r="F18" i="19" s="1"/>
  <c r="AU65" i="10"/>
  <c r="AU72" i="10" s="1"/>
  <c r="AU74" i="10" s="1"/>
  <c r="D51" i="19" s="1"/>
  <c r="L55" i="11"/>
  <c r="F16" i="19" s="1"/>
  <c r="BK65" i="9"/>
  <c r="E67" i="19" s="1"/>
  <c r="AT74" i="10"/>
  <c r="D50" i="19" s="1"/>
  <c r="BN55" i="11"/>
  <c r="F70" i="19" s="1"/>
  <c r="I55" i="11"/>
  <c r="F13" i="19" s="1"/>
  <c r="AF55" i="11"/>
  <c r="F36" i="19" s="1"/>
  <c r="CB70" i="10"/>
  <c r="CB65" i="10"/>
  <c r="CB72" i="10" s="1"/>
  <c r="T74" i="10"/>
  <c r="D24" i="19" s="1"/>
  <c r="AF61" i="9"/>
  <c r="AF53" i="9"/>
  <c r="AF63" i="9" s="1"/>
  <c r="AX55" i="11"/>
  <c r="F54" i="19" s="1"/>
  <c r="AU65" i="9"/>
  <c r="E51" i="19" s="1"/>
  <c r="AD55" i="11"/>
  <c r="F34" i="19" s="1"/>
  <c r="BI55" i="11"/>
  <c r="F65" i="19" s="1"/>
  <c r="AN55" i="11"/>
  <c r="F44" i="19" s="1"/>
  <c r="M74" i="10"/>
  <c r="D17" i="19" s="1"/>
  <c r="BE74" i="10"/>
  <c r="D61" i="19" s="1"/>
  <c r="AP65" i="9"/>
  <c r="E46" i="19" s="1"/>
  <c r="CA74" i="10"/>
  <c r="D83" i="19" s="1"/>
  <c r="BA55" i="11"/>
  <c r="F57" i="19" s="1"/>
  <c r="BF55" i="11"/>
  <c r="F62" i="19" s="1"/>
  <c r="Y55" i="11"/>
  <c r="F29" i="19" s="1"/>
  <c r="W74" i="10"/>
  <c r="D27" i="19" s="1"/>
  <c r="AR55" i="11"/>
  <c r="F48" i="19" s="1"/>
  <c r="AO70" i="10"/>
  <c r="AO65" i="10"/>
  <c r="AO72" i="10" s="1"/>
  <c r="AC74" i="10"/>
  <c r="D33" i="19" s="1"/>
  <c r="BB55" i="11"/>
  <c r="F58" i="19" s="1"/>
  <c r="S55" i="11"/>
  <c r="F23" i="19" s="1"/>
  <c r="Z65" i="10"/>
  <c r="Z72" i="10" s="1"/>
  <c r="Z74" i="10" s="1"/>
  <c r="D30" i="19" s="1"/>
  <c r="H65" i="10"/>
  <c r="H72" i="10" s="1"/>
  <c r="H74" i="10" s="1"/>
  <c r="D12" i="19" s="1"/>
  <c r="BP55" i="11"/>
  <c r="F72" i="19" s="1"/>
  <c r="AO65" i="9"/>
  <c r="E45" i="19" s="1"/>
  <c r="U55" i="11"/>
  <c r="F25" i="19" s="1"/>
  <c r="V74" i="10"/>
  <c r="D26" i="19" s="1"/>
  <c r="AP55" i="11"/>
  <c r="F46" i="19" s="1"/>
  <c r="R74" i="10"/>
  <c r="D22" i="19" s="1"/>
  <c r="AQ65" i="10"/>
  <c r="AQ72" i="10" s="1"/>
  <c r="AQ70" i="10"/>
  <c r="I65" i="10"/>
  <c r="I72" i="10" s="1"/>
  <c r="I70" i="10"/>
  <c r="AU55" i="11"/>
  <c r="F51" i="19" s="1"/>
  <c r="BG55" i="11"/>
  <c r="F63" i="19" s="1"/>
  <c r="BN65" i="10"/>
  <c r="BN72" i="10" s="1"/>
  <c r="BN74" i="10" s="1"/>
  <c r="D70" i="19" s="1"/>
  <c r="T53" i="9"/>
  <c r="T63" i="9" s="1"/>
  <c r="T61" i="9"/>
  <c r="BL55" i="11"/>
  <c r="F68" i="19" s="1"/>
  <c r="AI55" i="11"/>
  <c r="F39" i="19" s="1"/>
  <c r="AO55" i="11"/>
  <c r="F45" i="19" s="1"/>
  <c r="BY55" i="11"/>
  <c r="F81" i="19" s="1"/>
  <c r="Z55" i="11"/>
  <c r="F30" i="19" s="1"/>
  <c r="AZ55" i="11"/>
  <c r="F56" i="19" s="1"/>
  <c r="AC55" i="11"/>
  <c r="F33" i="19" s="1"/>
  <c r="L74" i="10"/>
  <c r="D16" i="19" s="1"/>
  <c r="AG65" i="9"/>
  <c r="E37" i="19" s="1"/>
  <c r="BH74" i="10"/>
  <c r="D64" i="19" s="1"/>
  <c r="AS55" i="11"/>
  <c r="F49" i="19" s="1"/>
  <c r="BZ53" i="9"/>
  <c r="BZ63" i="9" s="1"/>
  <c r="BZ61" i="9"/>
  <c r="BP53" i="9"/>
  <c r="BP63" i="9" s="1"/>
  <c r="BP61" i="9"/>
  <c r="AX53" i="9"/>
  <c r="AX63" i="9" s="1"/>
  <c r="AX61" i="9"/>
  <c r="CA55" i="11"/>
  <c r="F83" i="19" s="1"/>
  <c r="BC65" i="9"/>
  <c r="E59" i="19" s="1"/>
  <c r="AS65" i="10"/>
  <c r="AS72" i="10" s="1"/>
  <c r="AS70" i="10"/>
  <c r="AJ53" i="9"/>
  <c r="AJ63" i="9" s="1"/>
  <c r="L61" i="9"/>
  <c r="L53" i="9"/>
  <c r="L63" i="9" s="1"/>
  <c r="C59" i="9"/>
  <c r="C60" i="17" s="1"/>
  <c r="D60" i="17"/>
  <c r="BV55" i="11"/>
  <c r="F78" i="19" s="1"/>
  <c r="AM55" i="11"/>
  <c r="F43" i="19" s="1"/>
  <c r="BS61" i="9"/>
  <c r="BS53" i="9"/>
  <c r="BS63" i="9" s="1"/>
  <c r="G61" i="9"/>
  <c r="G53" i="9"/>
  <c r="G63" i="9" s="1"/>
  <c r="BB70" i="10"/>
  <c r="BB65" i="10"/>
  <c r="BB72" i="10" s="1"/>
  <c r="D51" i="11"/>
  <c r="C24" i="11"/>
  <c r="C25" i="16" s="1"/>
  <c r="D25" i="16"/>
  <c r="BU74" i="10"/>
  <c r="D77" i="19" s="1"/>
  <c r="O74" i="10"/>
  <c r="D19" i="19" s="1"/>
  <c r="I65" i="9"/>
  <c r="E13" i="19" s="1"/>
  <c r="M61" i="9"/>
  <c r="M53" i="9"/>
  <c r="M63" i="9" s="1"/>
  <c r="BH53" i="9"/>
  <c r="BH63" i="9" s="1"/>
  <c r="BH61" i="9"/>
  <c r="BX55" i="11"/>
  <c r="F80" i="19" s="1"/>
  <c r="BE55" i="11"/>
  <c r="F61" i="19" s="1"/>
  <c r="AK55" i="11"/>
  <c r="F41" i="19" s="1"/>
  <c r="AQ65" i="9"/>
  <c r="E47" i="19" s="1"/>
  <c r="BE53" i="9"/>
  <c r="BE63" i="9" s="1"/>
  <c r="BE61" i="9"/>
  <c r="AZ53" i="9"/>
  <c r="AZ63" i="9" s="1"/>
  <c r="AZ61" i="9"/>
  <c r="AM70" i="10"/>
  <c r="AM65" i="10"/>
  <c r="AM72" i="10" s="1"/>
  <c r="AC61" i="9"/>
  <c r="AC53" i="9"/>
  <c r="AC63" i="9" s="1"/>
  <c r="AP70" i="10"/>
  <c r="AP65" i="10"/>
  <c r="AP72" i="10" s="1"/>
  <c r="AD74" i="10"/>
  <c r="D34" i="19" s="1"/>
  <c r="P55" i="11"/>
  <c r="F20" i="19" s="1"/>
  <c r="BV65" i="9"/>
  <c r="E78" i="19" s="1"/>
  <c r="BT53" i="9"/>
  <c r="BT63" i="9" s="1"/>
  <c r="BT61" i="9"/>
  <c r="AJ55" i="11"/>
  <c r="F40" i="19" s="1"/>
  <c r="D53" i="9"/>
  <c r="D61" i="9"/>
  <c r="D47" i="17"/>
  <c r="R61" i="9"/>
  <c r="R53" i="9"/>
  <c r="R63" i="9" s="1"/>
  <c r="BC55" i="11"/>
  <c r="F59" i="19" s="1"/>
  <c r="AK65" i="10"/>
  <c r="AK72" i="10" s="1"/>
  <c r="AK70" i="10"/>
  <c r="BW55" i="11"/>
  <c r="F79" i="19" s="1"/>
  <c r="AL74" i="10"/>
  <c r="D42" i="19" s="1"/>
  <c r="BF70" i="10"/>
  <c r="BF65" i="10"/>
  <c r="BF72" i="10" s="1"/>
  <c r="AR53" i="9"/>
  <c r="AR63" i="9" s="1"/>
  <c r="AR61" i="9"/>
  <c r="BO61" i="9"/>
  <c r="BO53" i="9"/>
  <c r="BO63" i="9" s="1"/>
  <c r="BQ53" i="9"/>
  <c r="BQ63" i="9" s="1"/>
  <c r="BQ61" i="9"/>
  <c r="BC70" i="10"/>
  <c r="BC65" i="10"/>
  <c r="BC72" i="10" s="1"/>
  <c r="BU55" i="11"/>
  <c r="F77" i="19" s="1"/>
  <c r="BI65" i="10"/>
  <c r="BI72" i="10" s="1"/>
  <c r="BI70" i="10"/>
  <c r="BK70" i="10"/>
  <c r="BK65" i="10"/>
  <c r="BK72" i="10" s="1"/>
  <c r="BQ65" i="10"/>
  <c r="BQ72" i="10" s="1"/>
  <c r="BQ70" i="10"/>
  <c r="BK55" i="11"/>
  <c r="F67" i="19" s="1"/>
  <c r="BF53" i="9"/>
  <c r="BF63" i="9" s="1"/>
  <c r="BF61" i="9"/>
  <c r="BY53" i="9"/>
  <c r="BY63" i="9" s="1"/>
  <c r="BY61" i="9"/>
  <c r="BT55" i="11"/>
  <c r="F76" i="19" s="1"/>
  <c r="AB61" i="9"/>
  <c r="AB53" i="9"/>
  <c r="AB63" i="9" s="1"/>
  <c r="AH74" i="10"/>
  <c r="D38" i="19" s="1"/>
  <c r="BN53" i="9"/>
  <c r="BN63" i="9" s="1"/>
  <c r="BN61" i="9"/>
  <c r="N53" i="9"/>
  <c r="N63" i="9" s="1"/>
  <c r="N61" i="9"/>
  <c r="BJ55" i="11"/>
  <c r="F66" i="19" s="1"/>
  <c r="AE55" i="11"/>
  <c r="F35" i="19" s="1"/>
  <c r="F55" i="11"/>
  <c r="F10" i="19" s="1"/>
  <c r="Z53" i="9"/>
  <c r="Z63" i="9" s="1"/>
  <c r="Z61" i="9"/>
  <c r="BJ70" i="10"/>
  <c r="BJ65" i="10"/>
  <c r="BJ72" i="10" s="1"/>
  <c r="O55" i="11"/>
  <c r="F19" i="19" s="1"/>
  <c r="D59" i="17"/>
  <c r="CA65" i="9"/>
  <c r="E83" i="19" s="1"/>
  <c r="BA53" i="9"/>
  <c r="BA63" i="9" s="1"/>
  <c r="BA61" i="9"/>
  <c r="AB70" i="10"/>
  <c r="AB65" i="10"/>
  <c r="AB72" i="10" s="1"/>
  <c r="AY55" i="11"/>
  <c r="F55" i="19" s="1"/>
  <c r="D52" i="11"/>
  <c r="C35" i="11"/>
  <c r="C36" i="16" s="1"/>
  <c r="D36" i="16"/>
  <c r="O61" i="9"/>
  <c r="O53" i="9"/>
  <c r="O63" i="9" s="1"/>
  <c r="AR74" i="10"/>
  <c r="D48" i="19" s="1"/>
  <c r="BX74" i="10"/>
  <c r="D80" i="19" s="1"/>
  <c r="E61" i="9"/>
  <c r="E53" i="9"/>
  <c r="E63" i="9" s="1"/>
  <c r="AL55" i="11"/>
  <c r="F42" i="19" s="1"/>
  <c r="AB55" i="11"/>
  <c r="F32" i="19" s="1"/>
  <c r="J53" i="9"/>
  <c r="J63" i="9" s="1"/>
  <c r="J61" i="9"/>
  <c r="S65" i="10"/>
  <c r="S72" i="10" s="1"/>
  <c r="S70" i="10"/>
  <c r="AE61" i="9"/>
  <c r="AE53" i="9"/>
  <c r="AE63" i="9" s="1"/>
  <c r="AD53" i="9"/>
  <c r="AD63" i="9" s="1"/>
  <c r="AD61" i="9"/>
  <c r="AW53" i="9"/>
  <c r="AW63" i="9" s="1"/>
  <c r="AW61" i="9"/>
  <c r="F61" i="9"/>
  <c r="F53" i="9"/>
  <c r="F63" i="9" s="1"/>
  <c r="BA65" i="10"/>
  <c r="BA72" i="10" s="1"/>
  <c r="BA70" i="10"/>
  <c r="BI53" i="9"/>
  <c r="BI63" i="9" s="1"/>
  <c r="BI61" i="9"/>
  <c r="AH61" i="9"/>
  <c r="AH53" i="9"/>
  <c r="AH63" i="9" s="1"/>
  <c r="W61" i="9"/>
  <c r="W53" i="9"/>
  <c r="W63" i="9" s="1"/>
  <c r="AX74" i="10"/>
  <c r="D54" i="19" s="1"/>
  <c r="BB65" i="9"/>
  <c r="E58" i="19" s="1"/>
  <c r="AM61" i="9"/>
  <c r="AM53" i="9"/>
  <c r="AM63" i="9" s="1"/>
  <c r="BS55" i="11"/>
  <c r="F75" i="19" s="1"/>
  <c r="V55" i="11"/>
  <c r="F26" i="19" s="1"/>
  <c r="BX53" i="9"/>
  <c r="BX63" i="9" s="1"/>
  <c r="BX61" i="9"/>
  <c r="BM74" i="10"/>
  <c r="D69" i="19" s="1"/>
  <c r="BL74" i="10"/>
  <c r="D68" i="19" s="1"/>
  <c r="BQ55" i="11"/>
  <c r="F73" i="19" s="1"/>
  <c r="BJ65" i="9"/>
  <c r="E66" i="19" s="1"/>
  <c r="U61" i="9"/>
  <c r="U53" i="9"/>
  <c r="U63" i="9" s="1"/>
  <c r="BR70" i="10"/>
  <c r="BR65" i="10"/>
  <c r="BR72" i="10" s="1"/>
  <c r="M55" i="11"/>
  <c r="F17" i="19" s="1"/>
  <c r="BM53" i="9"/>
  <c r="BM63" i="9" s="1"/>
  <c r="BM61" i="9"/>
  <c r="BT74" i="10"/>
  <c r="D76" i="19" s="1"/>
  <c r="BO55" i="11"/>
  <c r="F71" i="19" s="1"/>
  <c r="AN65" i="9"/>
  <c r="E44" i="19" s="1"/>
  <c r="P70" i="10"/>
  <c r="P65" i="10"/>
  <c r="P72" i="10" s="1"/>
  <c r="CB55" i="11"/>
  <c r="F84" i="19" s="1"/>
  <c r="V61" i="9"/>
  <c r="V53" i="9"/>
  <c r="V63" i="9" s="1"/>
  <c r="AL61" i="9"/>
  <c r="AL53" i="9"/>
  <c r="AL63" i="9" s="1"/>
  <c r="D53" i="11"/>
  <c r="C46" i="11"/>
  <c r="C47" i="16" s="1"/>
  <c r="D47" i="16"/>
  <c r="U70" i="10"/>
  <c r="U65" i="10"/>
  <c r="U72" i="10" s="1"/>
  <c r="BR55" i="11"/>
  <c r="F74" i="19" s="1"/>
  <c r="AS53" i="9"/>
  <c r="AS63" i="9" s="1"/>
  <c r="AS61" i="9"/>
  <c r="BS70" i="10"/>
  <c r="BS65" i="10"/>
  <c r="BS72" i="10" s="1"/>
  <c r="H65" i="9"/>
  <c r="E12" i="19" s="1"/>
  <c r="BW61" i="9"/>
  <c r="BW53" i="9"/>
  <c r="BW63" i="9" s="1"/>
  <c r="BW74" i="10"/>
  <c r="D79" i="19" s="1"/>
  <c r="Q55" i="11"/>
  <c r="F21" i="19" s="1"/>
  <c r="AA65" i="10"/>
  <c r="AA72" i="10" s="1"/>
  <c r="AA70" i="10"/>
  <c r="BH55" i="11"/>
  <c r="F64" i="19" s="1"/>
  <c r="H55" i="11"/>
  <c r="F12" i="19" s="1"/>
  <c r="AY61" i="9"/>
  <c r="AY53" i="9"/>
  <c r="AY63" i="9" s="1"/>
  <c r="AK61" i="9"/>
  <c r="AK53" i="9"/>
  <c r="AK63" i="9" s="1"/>
  <c r="K53" i="9" l="1"/>
  <c r="K63" i="9" s="1"/>
  <c r="K61" i="9"/>
  <c r="K65" i="9" s="1"/>
  <c r="E15" i="19" s="1"/>
  <c r="H15" i="19" s="1"/>
  <c r="CB61" i="9"/>
  <c r="CB65" i="9" s="1"/>
  <c r="E84" i="19" s="1"/>
  <c r="AG27" i="23"/>
  <c r="H52" i="23"/>
  <c r="E53" i="20" s="1"/>
  <c r="C53" i="20" s="1"/>
  <c r="BD61" i="9"/>
  <c r="BG61" i="9"/>
  <c r="BG53" i="9"/>
  <c r="BG63" i="9" s="1"/>
  <c r="AS65" i="9"/>
  <c r="E49" i="19" s="1"/>
  <c r="AF37" i="23"/>
  <c r="BE65" i="9"/>
  <c r="E61" i="19" s="1"/>
  <c r="H61" i="19" s="1"/>
  <c r="Z50" i="23"/>
  <c r="U51" i="20" s="1"/>
  <c r="S51" i="20" s="1"/>
  <c r="N65" i="9"/>
  <c r="E18" i="19" s="1"/>
  <c r="Q18" i="23" s="1"/>
  <c r="M19" i="20" s="1"/>
  <c r="K19" i="20" s="1"/>
  <c r="AG30" i="23"/>
  <c r="AG39" i="23"/>
  <c r="AE18" i="23"/>
  <c r="AE17" i="23"/>
  <c r="H37" i="19"/>
  <c r="AE37" i="23"/>
  <c r="H50" i="19"/>
  <c r="BD74" i="10"/>
  <c r="D60" i="19" s="1"/>
  <c r="AW65" i="9"/>
  <c r="E53" i="19" s="1"/>
  <c r="H53" i="19" s="1"/>
  <c r="AG14" i="23"/>
  <c r="T65" i="9"/>
  <c r="E24" i="19" s="1"/>
  <c r="H24" i="19" s="1"/>
  <c r="H39" i="19"/>
  <c r="BA74" i="10"/>
  <c r="D57" i="19" s="1"/>
  <c r="AG9" i="23"/>
  <c r="BF65" i="9"/>
  <c r="E62" i="19" s="1"/>
  <c r="Z39" i="23"/>
  <c r="U40" i="20" s="1"/>
  <c r="S40" i="20" s="1"/>
  <c r="AJ65" i="9"/>
  <c r="E40" i="19" s="1"/>
  <c r="Z51" i="23"/>
  <c r="U52" i="20" s="1"/>
  <c r="S52" i="20" s="1"/>
  <c r="AG37" i="23"/>
  <c r="H21" i="19"/>
  <c r="BS74" i="10"/>
  <c r="D75" i="19" s="1"/>
  <c r="V65" i="9"/>
  <c r="E26" i="19" s="1"/>
  <c r="J65" i="9"/>
  <c r="E14" i="19" s="1"/>
  <c r="H14" i="19" s="1"/>
  <c r="AG22" i="23"/>
  <c r="BN65" i="9"/>
  <c r="E70" i="19" s="1"/>
  <c r="H70" i="19" s="1"/>
  <c r="AZ65" i="9"/>
  <c r="E56" i="19" s="1"/>
  <c r="H56" i="19" s="1"/>
  <c r="Q28" i="23"/>
  <c r="M29" i="20" s="1"/>
  <c r="K29" i="20" s="1"/>
  <c r="D70" i="10"/>
  <c r="C70" i="10" s="1"/>
  <c r="C71" i="15" s="1"/>
  <c r="D65" i="10"/>
  <c r="BF74" i="10"/>
  <c r="D62" i="19" s="1"/>
  <c r="AB74" i="10"/>
  <c r="D32" i="19" s="1"/>
  <c r="AE55" i="23"/>
  <c r="H52" i="19"/>
  <c r="H28" i="19"/>
  <c r="AH65" i="9"/>
  <c r="E38" i="19" s="1"/>
  <c r="H38" i="19" s="1"/>
  <c r="BX65" i="9"/>
  <c r="E80" i="19" s="1"/>
  <c r="H80" i="19" s="1"/>
  <c r="S74" i="10"/>
  <c r="D23" i="19" s="1"/>
  <c r="M65" i="9"/>
  <c r="E17" i="19" s="1"/>
  <c r="H17" i="19" s="1"/>
  <c r="AS74" i="10"/>
  <c r="D49" i="19" s="1"/>
  <c r="E65" i="9"/>
  <c r="E9" i="19" s="1"/>
  <c r="H9" i="19" s="1"/>
  <c r="H51" i="19"/>
  <c r="AG18" i="23"/>
  <c r="BB74" i="10"/>
  <c r="D58" i="19" s="1"/>
  <c r="AO74" i="10"/>
  <c r="D45" i="19" s="1"/>
  <c r="CB74" i="10"/>
  <c r="D84" i="19" s="1"/>
  <c r="H84" i="19" s="1"/>
  <c r="AL65" i="9"/>
  <c r="E42" i="19" s="1"/>
  <c r="H42" i="19" s="1"/>
  <c r="AG24" i="23"/>
  <c r="P74" i="10"/>
  <c r="D20" i="19" s="1"/>
  <c r="H20" i="19" s="1"/>
  <c r="AE65" i="9"/>
  <c r="E35" i="19" s="1"/>
  <c r="BK74" i="10"/>
  <c r="D67" i="19" s="1"/>
  <c r="H67" i="19" s="1"/>
  <c r="BC74" i="10"/>
  <c r="D59" i="19" s="1"/>
  <c r="AF20" i="23"/>
  <c r="R65" i="9"/>
  <c r="E22" i="19" s="1"/>
  <c r="H22" i="19" s="1"/>
  <c r="I74" i="10"/>
  <c r="D13" i="19" s="1"/>
  <c r="H13" i="19" s="1"/>
  <c r="BI65" i="9"/>
  <c r="E65" i="19" s="1"/>
  <c r="AG28" i="23"/>
  <c r="BA65" i="9"/>
  <c r="E57" i="19" s="1"/>
  <c r="Z65" i="9"/>
  <c r="E30" i="19" s="1"/>
  <c r="BO65" i="9"/>
  <c r="E71" i="19" s="1"/>
  <c r="H71" i="19" s="1"/>
  <c r="AQ74" i="10"/>
  <c r="D47" i="19" s="1"/>
  <c r="H47" i="19" s="1"/>
  <c r="AF65" i="9"/>
  <c r="E36" i="19" s="1"/>
  <c r="H29" i="19"/>
  <c r="BW65" i="9"/>
  <c r="E79" i="19" s="1"/>
  <c r="H83" i="19"/>
  <c r="AG31" i="23"/>
  <c r="BY65" i="9"/>
  <c r="E81" i="19" s="1"/>
  <c r="H81" i="19" s="1"/>
  <c r="AK74" i="10"/>
  <c r="D41" i="19" s="1"/>
  <c r="AF77" i="23"/>
  <c r="AA74" i="10"/>
  <c r="D31" i="19" s="1"/>
  <c r="U74" i="10"/>
  <c r="D25" i="19" s="1"/>
  <c r="BR74" i="10"/>
  <c r="D74" i="19" s="1"/>
  <c r="H39" i="23"/>
  <c r="E40" i="20" s="1"/>
  <c r="C40" i="20" s="1"/>
  <c r="O65" i="9"/>
  <c r="E19" i="19" s="1"/>
  <c r="H19" i="19" s="1"/>
  <c r="BJ74" i="10"/>
  <c r="D66" i="19" s="1"/>
  <c r="BQ74" i="10"/>
  <c r="D73" i="19" s="1"/>
  <c r="Z29" i="23"/>
  <c r="U30" i="20" s="1"/>
  <c r="S30" i="20" s="1"/>
  <c r="BQ65" i="9"/>
  <c r="E73" i="19" s="1"/>
  <c r="AG60" i="23"/>
  <c r="BT65" i="9"/>
  <c r="E76" i="19" s="1"/>
  <c r="AC65" i="9"/>
  <c r="E33" i="19" s="1"/>
  <c r="AM74" i="10"/>
  <c r="D43" i="19" s="1"/>
  <c r="BS65" i="9"/>
  <c r="E75" i="19" s="1"/>
  <c r="H37" i="23"/>
  <c r="E38" i="20" s="1"/>
  <c r="C38" i="20" s="1"/>
  <c r="BM65" i="9"/>
  <c r="E69" i="19" s="1"/>
  <c r="H69" i="19" s="1"/>
  <c r="U65" i="9"/>
  <c r="E25" i="19" s="1"/>
  <c r="F65" i="9"/>
  <c r="E10" i="19" s="1"/>
  <c r="AB65" i="9"/>
  <c r="E32" i="19" s="1"/>
  <c r="BI74" i="10"/>
  <c r="D65" i="19" s="1"/>
  <c r="D62" i="17"/>
  <c r="C61" i="9"/>
  <c r="C62" i="17" s="1"/>
  <c r="BH65" i="9"/>
  <c r="E64" i="19" s="1"/>
  <c r="H64" i="19" s="1"/>
  <c r="G65" i="9"/>
  <c r="E11" i="19" s="1"/>
  <c r="L65" i="9"/>
  <c r="E16" i="19" s="1"/>
  <c r="AX65" i="9"/>
  <c r="E54" i="19" s="1"/>
  <c r="H54" i="19" s="1"/>
  <c r="H23" i="19"/>
  <c r="C52" i="11"/>
  <c r="C53" i="16" s="1"/>
  <c r="D53" i="16"/>
  <c r="H12" i="19"/>
  <c r="D54" i="17"/>
  <c r="D63" i="9"/>
  <c r="D65" i="9" s="1"/>
  <c r="H78" i="19"/>
  <c r="AM65" i="9"/>
  <c r="E43" i="19" s="1"/>
  <c r="AE39" i="23"/>
  <c r="BP65" i="9"/>
  <c r="E72" i="19" s="1"/>
  <c r="H72" i="19" s="1"/>
  <c r="C53" i="11"/>
  <c r="C54" i="16" s="1"/>
  <c r="D54" i="16"/>
  <c r="W65" i="9"/>
  <c r="E27" i="19" s="1"/>
  <c r="H77" i="19"/>
  <c r="D55" i="11"/>
  <c r="C51" i="11"/>
  <c r="C52" i="16" s="1"/>
  <c r="D52" i="16"/>
  <c r="AK65" i="9"/>
  <c r="E41" i="19" s="1"/>
  <c r="AY65" i="9"/>
  <c r="E55" i="19" s="1"/>
  <c r="H79" i="19"/>
  <c r="H68" i="19"/>
  <c r="H68" i="23"/>
  <c r="E69" i="20" s="1"/>
  <c r="C69" i="20" s="1"/>
  <c r="AD65" i="9"/>
  <c r="E34" i="19" s="1"/>
  <c r="H34" i="19" s="1"/>
  <c r="H44" i="19"/>
  <c r="BD65" i="9"/>
  <c r="E60" i="19" s="1"/>
  <c r="AR65" i="9"/>
  <c r="E48" i="19" s="1"/>
  <c r="AP74" i="10"/>
  <c r="D46" i="19" s="1"/>
  <c r="BZ65" i="9"/>
  <c r="E82" i="19" s="1"/>
  <c r="AG11" i="23" l="1"/>
  <c r="AG15" i="23"/>
  <c r="AG68" i="23"/>
  <c r="AG47" i="23"/>
  <c r="AG13" i="23"/>
  <c r="AF67" i="23"/>
  <c r="AE35" i="23"/>
  <c r="AG52" i="23"/>
  <c r="AF45" i="23"/>
  <c r="Z15" i="23"/>
  <c r="U16" i="20" s="1"/>
  <c r="S16" i="20" s="1"/>
  <c r="AG46" i="23"/>
  <c r="Q39" i="23"/>
  <c r="M40" i="20" s="1"/>
  <c r="K40" i="20" s="1"/>
  <c r="AG69" i="23"/>
  <c r="Q52" i="23"/>
  <c r="M53" i="20" s="1"/>
  <c r="K53" i="20" s="1"/>
  <c r="Z68" i="23"/>
  <c r="U69" i="20" s="1"/>
  <c r="S69" i="20" s="1"/>
  <c r="H23" i="23"/>
  <c r="E24" i="20" s="1"/>
  <c r="C24" i="20" s="1"/>
  <c r="AE15" i="23"/>
  <c r="AE29" i="23"/>
  <c r="AE53" i="23"/>
  <c r="AF68" i="23"/>
  <c r="Q37" i="23"/>
  <c r="M38" i="20" s="1"/>
  <c r="K38" i="20" s="1"/>
  <c r="AE33" i="23"/>
  <c r="AG81" i="23"/>
  <c r="Z56" i="23"/>
  <c r="U57" i="20" s="1"/>
  <c r="S57" i="20" s="1"/>
  <c r="AE26" i="23"/>
  <c r="AG34" i="23"/>
  <c r="AE16" i="23"/>
  <c r="Q15" i="23"/>
  <c r="M16" i="20" s="1"/>
  <c r="K16" i="20" s="1"/>
  <c r="AF51" i="23"/>
  <c r="AG25" i="23"/>
  <c r="Z20" i="23"/>
  <c r="U21" i="20" s="1"/>
  <c r="S21" i="20" s="1"/>
  <c r="Q23" i="23"/>
  <c r="M24" i="20" s="1"/>
  <c r="K24" i="20" s="1"/>
  <c r="Q80" i="23"/>
  <c r="M81" i="20" s="1"/>
  <c r="K81" i="20" s="1"/>
  <c r="Z30" i="23"/>
  <c r="U31" i="20" s="1"/>
  <c r="S31" i="20" s="1"/>
  <c r="AG16" i="23"/>
  <c r="AF31" i="23"/>
  <c r="AE22" i="23"/>
  <c r="AE9" i="23"/>
  <c r="AG50" i="23"/>
  <c r="AF52" i="23"/>
  <c r="H30" i="19"/>
  <c r="H67" i="23"/>
  <c r="E68" i="20" s="1"/>
  <c r="C68" i="20" s="1"/>
  <c r="AE24" i="23"/>
  <c r="AG62" i="23"/>
  <c r="AG58" i="23"/>
  <c r="AE40" i="23"/>
  <c r="AG70" i="23"/>
  <c r="Z80" i="23"/>
  <c r="U81" i="20" s="1"/>
  <c r="S81" i="20" s="1"/>
  <c r="H80" i="23"/>
  <c r="E81" i="20" s="1"/>
  <c r="C81" i="20" s="1"/>
  <c r="AE10" i="23"/>
  <c r="AG53" i="23"/>
  <c r="H9" i="23"/>
  <c r="E10" i="20" s="1"/>
  <c r="C10" i="20" s="1"/>
  <c r="AE21" i="23"/>
  <c r="AE71" i="23"/>
  <c r="AG38" i="23"/>
  <c r="Z70" i="23"/>
  <c r="U71" i="20" s="1"/>
  <c r="S71" i="20" s="1"/>
  <c r="H61" i="23"/>
  <c r="E62" i="20" s="1"/>
  <c r="C62" i="20" s="1"/>
  <c r="Q70" i="23"/>
  <c r="M71" i="20" s="1"/>
  <c r="K71" i="20" s="1"/>
  <c r="Z61" i="23"/>
  <c r="U62" i="20" s="1"/>
  <c r="S62" i="20" s="1"/>
  <c r="H51" i="23"/>
  <c r="E52" i="20" s="1"/>
  <c r="C52" i="20" s="1"/>
  <c r="Z52" i="23"/>
  <c r="U53" i="20" s="1"/>
  <c r="S53" i="20" s="1"/>
  <c r="AF50" i="23"/>
  <c r="BG65" i="9"/>
  <c r="E63" i="19" s="1"/>
  <c r="H26" i="19"/>
  <c r="H18" i="23"/>
  <c r="E19" i="20" s="1"/>
  <c r="C19" i="20" s="1"/>
  <c r="H18" i="19"/>
  <c r="Z37" i="23"/>
  <c r="U38" i="20" s="1"/>
  <c r="S38" i="20" s="1"/>
  <c r="Z79" i="23"/>
  <c r="U80" i="20" s="1"/>
  <c r="S80" i="20" s="1"/>
  <c r="Q40" i="23"/>
  <c r="M41" i="20" s="1"/>
  <c r="K41" i="20" s="1"/>
  <c r="H40" i="19"/>
  <c r="Z40" i="23"/>
  <c r="U41" i="20" s="1"/>
  <c r="S41" i="20" s="1"/>
  <c r="H49" i="23"/>
  <c r="E50" i="20" s="1"/>
  <c r="C50" i="20" s="1"/>
  <c r="AF84" i="23"/>
  <c r="Q53" i="23"/>
  <c r="M54" i="20" s="1"/>
  <c r="K54" i="20" s="1"/>
  <c r="Q17" i="23"/>
  <c r="M18" i="20" s="1"/>
  <c r="K18" i="20" s="1"/>
  <c r="Z53" i="23"/>
  <c r="U54" i="20" s="1"/>
  <c r="S54" i="20" s="1"/>
  <c r="AF28" i="23"/>
  <c r="AF39" i="23"/>
  <c r="AI39" i="23" s="1"/>
  <c r="AC40" i="20" s="1"/>
  <c r="AA40" i="20" s="1"/>
  <c r="AF46" i="23"/>
  <c r="H28" i="23"/>
  <c r="E29" i="20" s="1"/>
  <c r="C29" i="20" s="1"/>
  <c r="Z14" i="23"/>
  <c r="U15" i="20" s="1"/>
  <c r="S15" i="20" s="1"/>
  <c r="Z9" i="23"/>
  <c r="U10" i="20" s="1"/>
  <c r="S10" i="20" s="1"/>
  <c r="H22" i="23"/>
  <c r="E23" i="20" s="1"/>
  <c r="C23" i="20" s="1"/>
  <c r="Z17" i="23"/>
  <c r="U18" i="20" s="1"/>
  <c r="S18" i="20" s="1"/>
  <c r="Q9" i="23"/>
  <c r="M10" i="20" s="1"/>
  <c r="K10" i="20" s="1"/>
  <c r="Z22" i="23"/>
  <c r="U23" i="20" s="1"/>
  <c r="S23" i="20" s="1"/>
  <c r="Z24" i="23"/>
  <c r="U25" i="20" s="1"/>
  <c r="S25" i="20" s="1"/>
  <c r="Q71" i="23"/>
  <c r="M72" i="20" s="1"/>
  <c r="K72" i="20" s="1"/>
  <c r="Z71" i="23"/>
  <c r="U72" i="20" s="1"/>
  <c r="S72" i="20" s="1"/>
  <c r="H71" i="23"/>
  <c r="E72" i="20" s="1"/>
  <c r="C72" i="20" s="1"/>
  <c r="AG56" i="23"/>
  <c r="AG54" i="23"/>
  <c r="H50" i="23"/>
  <c r="E51" i="20" s="1"/>
  <c r="C51" i="20" s="1"/>
  <c r="H83" i="23"/>
  <c r="E84" i="20" s="1"/>
  <c r="C84" i="20" s="1"/>
  <c r="AG71" i="23"/>
  <c r="AG48" i="23"/>
  <c r="AG23" i="23"/>
  <c r="AG82" i="23"/>
  <c r="Q50" i="23"/>
  <c r="M51" i="20" s="1"/>
  <c r="K51" i="20" s="1"/>
  <c r="Q44" i="23"/>
  <c r="M45" i="20" s="1"/>
  <c r="K45" i="20" s="1"/>
  <c r="Q29" i="23"/>
  <c r="M30" i="20" s="1"/>
  <c r="K30" i="20" s="1"/>
  <c r="AG33" i="23"/>
  <c r="AG29" i="23"/>
  <c r="AG49" i="23"/>
  <c r="Z23" i="23"/>
  <c r="U24" i="20" s="1"/>
  <c r="S24" i="20" s="1"/>
  <c r="AG51" i="23"/>
  <c r="Q68" i="23"/>
  <c r="M69" i="20" s="1"/>
  <c r="K69" i="20" s="1"/>
  <c r="AG72" i="23"/>
  <c r="AG45" i="23"/>
  <c r="AE11" i="23"/>
  <c r="H20" i="23"/>
  <c r="E21" i="20" s="1"/>
  <c r="C21" i="20" s="1"/>
  <c r="Q20" i="23"/>
  <c r="M21" i="20" s="1"/>
  <c r="K21" i="20" s="1"/>
  <c r="Z18" i="23"/>
  <c r="U19" i="20" s="1"/>
  <c r="S19" i="20" s="1"/>
  <c r="AE27" i="23"/>
  <c r="AE52" i="23"/>
  <c r="H41" i="19"/>
  <c r="AE64" i="23"/>
  <c r="AE82" i="23"/>
  <c r="Q83" i="23"/>
  <c r="M84" i="20" s="1"/>
  <c r="K84" i="20" s="1"/>
  <c r="H62" i="19"/>
  <c r="AE50" i="23"/>
  <c r="AE63" i="23"/>
  <c r="AE36" i="23"/>
  <c r="Z44" i="23"/>
  <c r="U45" i="20" s="1"/>
  <c r="S45" i="20" s="1"/>
  <c r="AE81" i="23"/>
  <c r="H56" i="23"/>
  <c r="E57" i="20" s="1"/>
  <c r="C57" i="20" s="1"/>
  <c r="AE44" i="23"/>
  <c r="AE51" i="23"/>
  <c r="AE61" i="23"/>
  <c r="Q67" i="23"/>
  <c r="M68" i="20" s="1"/>
  <c r="K68" i="20" s="1"/>
  <c r="H57" i="19"/>
  <c r="H49" i="19"/>
  <c r="Q58" i="23"/>
  <c r="M59" i="20" s="1"/>
  <c r="K59" i="20" s="1"/>
  <c r="AE56" i="23"/>
  <c r="AE41" i="23"/>
  <c r="Q51" i="23"/>
  <c r="M52" i="20" s="1"/>
  <c r="K52" i="20" s="1"/>
  <c r="H75" i="19"/>
  <c r="AE70" i="23"/>
  <c r="H29" i="23"/>
  <c r="E30" i="20" s="1"/>
  <c r="C30" i="20" s="1"/>
  <c r="Z21" i="23"/>
  <c r="U22" i="20" s="1"/>
  <c r="S22" i="20" s="1"/>
  <c r="AE30" i="23"/>
  <c r="H58" i="19"/>
  <c r="Q24" i="23"/>
  <c r="M25" i="20" s="1"/>
  <c r="K25" i="20" s="1"/>
  <c r="AG80" i="23"/>
  <c r="H24" i="23"/>
  <c r="E25" i="20" s="1"/>
  <c r="C25" i="20" s="1"/>
  <c r="Z35" i="23"/>
  <c r="U36" i="20" s="1"/>
  <c r="S36" i="20" s="1"/>
  <c r="AE54" i="23"/>
  <c r="AG44" i="23"/>
  <c r="AE83" i="23"/>
  <c r="Z28" i="23"/>
  <c r="U29" i="20" s="1"/>
  <c r="S29" i="20" s="1"/>
  <c r="AF23" i="23"/>
  <c r="AG66" i="23"/>
  <c r="AE14" i="23"/>
  <c r="AF58" i="23"/>
  <c r="AG73" i="23"/>
  <c r="Q22" i="23"/>
  <c r="M23" i="20" s="1"/>
  <c r="K23" i="20" s="1"/>
  <c r="Z38" i="23"/>
  <c r="U39" i="20" s="1"/>
  <c r="S39" i="20" s="1"/>
  <c r="AG75" i="23"/>
  <c r="AG42" i="23"/>
  <c r="Q61" i="23"/>
  <c r="M62" i="20" s="1"/>
  <c r="K62" i="20" s="1"/>
  <c r="H81" i="23"/>
  <c r="E82" i="20" s="1"/>
  <c r="C82" i="20" s="1"/>
  <c r="AG35" i="23"/>
  <c r="H38" i="23"/>
  <c r="E39" i="20" s="1"/>
  <c r="C39" i="20" s="1"/>
  <c r="AG36" i="23"/>
  <c r="H44" i="23"/>
  <c r="E45" i="20" s="1"/>
  <c r="C45" i="20" s="1"/>
  <c r="H77" i="23"/>
  <c r="E78" i="20" s="1"/>
  <c r="C78" i="20" s="1"/>
  <c r="Q56" i="23"/>
  <c r="M57" i="20" s="1"/>
  <c r="K57" i="20" s="1"/>
  <c r="AG79" i="23"/>
  <c r="Q35" i="23"/>
  <c r="M36" i="20" s="1"/>
  <c r="K36" i="20" s="1"/>
  <c r="Z81" i="23"/>
  <c r="U82" i="20" s="1"/>
  <c r="S82" i="20" s="1"/>
  <c r="AG76" i="23"/>
  <c r="Z83" i="23"/>
  <c r="U84" i="20" s="1"/>
  <c r="S84" i="20" s="1"/>
  <c r="Q81" i="23"/>
  <c r="M82" i="20" s="1"/>
  <c r="K82" i="20" s="1"/>
  <c r="H59" i="19"/>
  <c r="H21" i="23"/>
  <c r="E22" i="20" s="1"/>
  <c r="C22" i="20" s="1"/>
  <c r="Q21" i="23"/>
  <c r="M22" i="20" s="1"/>
  <c r="K22" i="20" s="1"/>
  <c r="AE80" i="23"/>
  <c r="Q26" i="23"/>
  <c r="M27" i="20" s="1"/>
  <c r="K27" i="20" s="1"/>
  <c r="AG41" i="23"/>
  <c r="AG84" i="23"/>
  <c r="D72" i="10"/>
  <c r="D74" i="10" s="1"/>
  <c r="C74" i="10" s="1"/>
  <c r="C75" i="15" s="1"/>
  <c r="D66" i="15"/>
  <c r="AE34" i="23"/>
  <c r="AF78" i="23"/>
  <c r="H26" i="23"/>
  <c r="E27" i="20" s="1"/>
  <c r="C27" i="20" s="1"/>
  <c r="AG63" i="23"/>
  <c r="AG65" i="23"/>
  <c r="D71" i="15"/>
  <c r="H14" i="23"/>
  <c r="E15" i="20" s="1"/>
  <c r="C15" i="20" s="1"/>
  <c r="H70" i="23"/>
  <c r="E71" i="20" s="1"/>
  <c r="C71" i="20" s="1"/>
  <c r="AG59" i="23"/>
  <c r="Q14" i="23"/>
  <c r="M15" i="20" s="1"/>
  <c r="K15" i="20" s="1"/>
  <c r="H30" i="23"/>
  <c r="E31" i="20" s="1"/>
  <c r="C31" i="20" s="1"/>
  <c r="AF59" i="23"/>
  <c r="AG57" i="23"/>
  <c r="AE28" i="23"/>
  <c r="AG19" i="23"/>
  <c r="AG74" i="23"/>
  <c r="AG32" i="23"/>
  <c r="Z59" i="23"/>
  <c r="U60" i="20" s="1"/>
  <c r="S60" i="20" s="1"/>
  <c r="AE72" i="23"/>
  <c r="H78" i="23"/>
  <c r="E79" i="20" s="1"/>
  <c r="C79" i="20" s="1"/>
  <c r="AF83" i="23"/>
  <c r="AF66" i="23"/>
  <c r="AG67" i="23"/>
  <c r="Z47" i="23"/>
  <c r="U48" i="20" s="1"/>
  <c r="S48" i="20" s="1"/>
  <c r="H47" i="23"/>
  <c r="E48" i="20" s="1"/>
  <c r="C48" i="20" s="1"/>
  <c r="H35" i="19"/>
  <c r="AG12" i="23"/>
  <c r="AF21" i="23"/>
  <c r="AE78" i="23"/>
  <c r="Q42" i="23"/>
  <c r="M43" i="20" s="1"/>
  <c r="K43" i="20" s="1"/>
  <c r="H35" i="23"/>
  <c r="E36" i="20" s="1"/>
  <c r="C36" i="20" s="1"/>
  <c r="Z13" i="23"/>
  <c r="U14" i="20" s="1"/>
  <c r="S14" i="20" s="1"/>
  <c r="H13" i="23"/>
  <c r="E14" i="20" s="1"/>
  <c r="C14" i="20" s="1"/>
  <c r="Z84" i="23"/>
  <c r="U85" i="20" s="1"/>
  <c r="S85" i="20" s="1"/>
  <c r="H84" i="23"/>
  <c r="E85" i="20" s="1"/>
  <c r="C85" i="20" s="1"/>
  <c r="Q84" i="23"/>
  <c r="M85" i="20" s="1"/>
  <c r="K85" i="20" s="1"/>
  <c r="Z57" i="23"/>
  <c r="U58" i="20" s="1"/>
  <c r="S58" i="20" s="1"/>
  <c r="AF44" i="23"/>
  <c r="Z42" i="23"/>
  <c r="U43" i="20" s="1"/>
  <c r="S43" i="20" s="1"/>
  <c r="AF15" i="23"/>
  <c r="AF29" i="23"/>
  <c r="H45" i="23"/>
  <c r="E46" i="20" s="1"/>
  <c r="C46" i="20" s="1"/>
  <c r="Z45" i="23"/>
  <c r="U46" i="20" s="1"/>
  <c r="S46" i="20" s="1"/>
  <c r="Q45" i="23"/>
  <c r="M46" i="20" s="1"/>
  <c r="K46" i="20" s="1"/>
  <c r="H45" i="19"/>
  <c r="H17" i="23"/>
  <c r="E18" i="20" s="1"/>
  <c r="C18" i="20" s="1"/>
  <c r="AG20" i="23"/>
  <c r="H42" i="23"/>
  <c r="E43" i="20" s="1"/>
  <c r="C43" i="20" s="1"/>
  <c r="H53" i="23"/>
  <c r="E54" i="20" s="1"/>
  <c r="C54" i="20" s="1"/>
  <c r="AG21" i="23"/>
  <c r="AE19" i="23"/>
  <c r="AG43" i="23"/>
  <c r="Q36" i="23"/>
  <c r="M37" i="20" s="1"/>
  <c r="K37" i="20" s="1"/>
  <c r="H36" i="23"/>
  <c r="E37" i="20" s="1"/>
  <c r="C37" i="20" s="1"/>
  <c r="H36" i="19"/>
  <c r="AG55" i="23"/>
  <c r="AI37" i="23"/>
  <c r="AC38" i="20" s="1"/>
  <c r="AA38" i="20" s="1"/>
  <c r="AF12" i="23"/>
  <c r="AG40" i="23"/>
  <c r="Q69" i="23"/>
  <c r="M70" i="20" s="1"/>
  <c r="K70" i="20" s="1"/>
  <c r="H69" i="23"/>
  <c r="E70" i="20" s="1"/>
  <c r="C70" i="20" s="1"/>
  <c r="H25" i="19"/>
  <c r="Z77" i="23"/>
  <c r="U78" i="20" s="1"/>
  <c r="S78" i="20" s="1"/>
  <c r="H12" i="23"/>
  <c r="E13" i="20" s="1"/>
  <c r="C13" i="20" s="1"/>
  <c r="H11" i="23"/>
  <c r="E12" i="20" s="1"/>
  <c r="C12" i="20" s="1"/>
  <c r="Z11" i="23"/>
  <c r="U12" i="20" s="1"/>
  <c r="S12" i="20" s="1"/>
  <c r="Q11" i="23"/>
  <c r="M12" i="20" s="1"/>
  <c r="K12" i="20" s="1"/>
  <c r="H11" i="19"/>
  <c r="H65" i="23"/>
  <c r="E66" i="20" s="1"/>
  <c r="C66" i="20" s="1"/>
  <c r="H65" i="19"/>
  <c r="AG61" i="23"/>
  <c r="AG26" i="23"/>
  <c r="Q31" i="23"/>
  <c r="M32" i="20" s="1"/>
  <c r="K32" i="20" s="1"/>
  <c r="H31" i="23"/>
  <c r="E32" i="20" s="1"/>
  <c r="C32" i="20" s="1"/>
  <c r="Z31" i="23"/>
  <c r="U32" i="20" s="1"/>
  <c r="S32" i="20" s="1"/>
  <c r="H31" i="19"/>
  <c r="H27" i="23"/>
  <c r="E28" i="20" s="1"/>
  <c r="C28" i="20" s="1"/>
  <c r="Z27" i="23"/>
  <c r="U28" i="20" s="1"/>
  <c r="S28" i="20" s="1"/>
  <c r="Q27" i="23"/>
  <c r="M28" i="20" s="1"/>
  <c r="K28" i="20" s="1"/>
  <c r="H27" i="19"/>
  <c r="H59" i="23"/>
  <c r="E60" i="20" s="1"/>
  <c r="C60" i="20" s="1"/>
  <c r="Q77" i="23"/>
  <c r="M78" i="20" s="1"/>
  <c r="K78" i="20" s="1"/>
  <c r="AE38" i="23"/>
  <c r="Z78" i="23"/>
  <c r="U79" i="20" s="1"/>
  <c r="S79" i="20" s="1"/>
  <c r="C63" i="9"/>
  <c r="C64" i="17" s="1"/>
  <c r="D64" i="17"/>
  <c r="AG77" i="23"/>
  <c r="AE12" i="23"/>
  <c r="Z12" i="23"/>
  <c r="U13" i="20" s="1"/>
  <c r="S13" i="20" s="1"/>
  <c r="H75" i="23"/>
  <c r="E76" i="20" s="1"/>
  <c r="C76" i="20" s="1"/>
  <c r="Q55" i="23"/>
  <c r="M56" i="20" s="1"/>
  <c r="K56" i="20" s="1"/>
  <c r="H55" i="23"/>
  <c r="E56" i="20" s="1"/>
  <c r="C56" i="20" s="1"/>
  <c r="Z55" i="23"/>
  <c r="U56" i="20" s="1"/>
  <c r="S56" i="20" s="1"/>
  <c r="H55" i="19"/>
  <c r="F8" i="19"/>
  <c r="C55" i="11"/>
  <c r="C56" i="16" s="1"/>
  <c r="D56" i="16"/>
  <c r="AG17" i="23"/>
  <c r="AE79" i="23"/>
  <c r="AG64" i="23"/>
  <c r="AF74" i="23"/>
  <c r="AF56" i="23"/>
  <c r="Q12" i="23"/>
  <c r="M13" i="20" s="1"/>
  <c r="K13" i="20" s="1"/>
  <c r="AE23" i="23"/>
  <c r="H58" i="23"/>
  <c r="E59" i="20" s="1"/>
  <c r="C59" i="20" s="1"/>
  <c r="Z34" i="23"/>
  <c r="U35" i="20" s="1"/>
  <c r="S35" i="20" s="1"/>
  <c r="Q34" i="23"/>
  <c r="M35" i="20" s="1"/>
  <c r="K35" i="20" s="1"/>
  <c r="AG10" i="23"/>
  <c r="H54" i="23"/>
  <c r="E55" i="20" s="1"/>
  <c r="C55" i="20" s="1"/>
  <c r="Q54" i="23"/>
  <c r="M55" i="20" s="1"/>
  <c r="K55" i="20" s="1"/>
  <c r="Z54" i="23"/>
  <c r="U55" i="20" s="1"/>
  <c r="S55" i="20" s="1"/>
  <c r="Q64" i="23"/>
  <c r="M65" i="20" s="1"/>
  <c r="K65" i="20" s="1"/>
  <c r="Z64" i="23"/>
  <c r="U65" i="20" s="1"/>
  <c r="S65" i="20" s="1"/>
  <c r="E8" i="19"/>
  <c r="D66" i="17"/>
  <c r="H15" i="23"/>
  <c r="E16" i="20" s="1"/>
  <c r="C16" i="20" s="1"/>
  <c r="H43" i="19"/>
  <c r="Q66" i="23"/>
  <c r="M67" i="20" s="1"/>
  <c r="K67" i="20" s="1"/>
  <c r="H66" i="19"/>
  <c r="Z66" i="23"/>
  <c r="U67" i="20" s="1"/>
  <c r="S67" i="20" s="1"/>
  <c r="H66" i="23"/>
  <c r="E67" i="20" s="1"/>
  <c r="C67" i="20" s="1"/>
  <c r="Q74" i="23"/>
  <c r="M75" i="20" s="1"/>
  <c r="K75" i="20" s="1"/>
  <c r="H74" i="19"/>
  <c r="Z74" i="23"/>
  <c r="U75" i="20" s="1"/>
  <c r="S75" i="20" s="1"/>
  <c r="H74" i="23"/>
  <c r="E75" i="20" s="1"/>
  <c r="C75" i="20" s="1"/>
  <c r="Q46" i="23"/>
  <c r="M47" i="20" s="1"/>
  <c r="K47" i="20" s="1"/>
  <c r="H46" i="23"/>
  <c r="E47" i="20" s="1"/>
  <c r="C47" i="20" s="1"/>
  <c r="H46" i="19"/>
  <c r="Z46" i="23"/>
  <c r="U47" i="20" s="1"/>
  <c r="S47" i="20" s="1"/>
  <c r="AE68" i="23"/>
  <c r="H48" i="23"/>
  <c r="E49" i="20" s="1"/>
  <c r="C49" i="20" s="1"/>
  <c r="Q48" i="23"/>
  <c r="M49" i="20" s="1"/>
  <c r="K49" i="20" s="1"/>
  <c r="Z48" i="23"/>
  <c r="U49" i="20" s="1"/>
  <c r="S49" i="20" s="1"/>
  <c r="Q79" i="23"/>
  <c r="M80" i="20" s="1"/>
  <c r="K80" i="20" s="1"/>
  <c r="AF17" i="23"/>
  <c r="H40" i="23"/>
  <c r="E41" i="20" s="1"/>
  <c r="C41" i="20" s="1"/>
  <c r="Z16" i="23"/>
  <c r="U17" i="20" s="1"/>
  <c r="S17" i="20" s="1"/>
  <c r="Q16" i="23"/>
  <c r="M17" i="20" s="1"/>
  <c r="K17" i="20" s="1"/>
  <c r="H16" i="19"/>
  <c r="Q33" i="23"/>
  <c r="M34" i="20" s="1"/>
  <c r="K34" i="20" s="1"/>
  <c r="Z33" i="23"/>
  <c r="U34" i="20" s="1"/>
  <c r="S34" i="20" s="1"/>
  <c r="H33" i="23"/>
  <c r="E34" i="20" s="1"/>
  <c r="C34" i="20" s="1"/>
  <c r="H33" i="19"/>
  <c r="H19" i="23"/>
  <c r="E20" i="20" s="1"/>
  <c r="C20" i="20" s="1"/>
  <c r="Z19" i="23"/>
  <c r="U20" i="20" s="1"/>
  <c r="S20" i="20" s="1"/>
  <c r="AE76" i="23"/>
  <c r="H72" i="23"/>
  <c r="E73" i="20" s="1"/>
  <c r="C73" i="20" s="1"/>
  <c r="Z72" i="23"/>
  <c r="U73" i="20" s="1"/>
  <c r="S73" i="20" s="1"/>
  <c r="Q72" i="23"/>
  <c r="M73" i="20" s="1"/>
  <c r="K73" i="20" s="1"/>
  <c r="AF13" i="23"/>
  <c r="AE48" i="23"/>
  <c r="Q78" i="23"/>
  <c r="M79" i="20" s="1"/>
  <c r="K79" i="20" s="1"/>
  <c r="H32" i="23"/>
  <c r="E33" i="20" s="1"/>
  <c r="C33" i="20" s="1"/>
  <c r="Z76" i="23"/>
  <c r="U77" i="20" s="1"/>
  <c r="S77" i="20" s="1"/>
  <c r="Q76" i="23"/>
  <c r="M77" i="20" s="1"/>
  <c r="K77" i="20" s="1"/>
  <c r="H73" i="19"/>
  <c r="Z82" i="23"/>
  <c r="U83" i="20" s="1"/>
  <c r="S83" i="20" s="1"/>
  <c r="Q82" i="23"/>
  <c r="M83" i="20" s="1"/>
  <c r="K83" i="20" s="1"/>
  <c r="H82" i="23"/>
  <c r="E83" i="20" s="1"/>
  <c r="C83" i="20" s="1"/>
  <c r="H82" i="19"/>
  <c r="AE42" i="23"/>
  <c r="H60" i="23"/>
  <c r="E61" i="20" s="1"/>
  <c r="C61" i="20" s="1"/>
  <c r="H60" i="19"/>
  <c r="AE69" i="23"/>
  <c r="Z41" i="23"/>
  <c r="U42" i="20" s="1"/>
  <c r="S42" i="20" s="1"/>
  <c r="H41" i="23"/>
  <c r="E42" i="20" s="1"/>
  <c r="C42" i="20" s="1"/>
  <c r="AE77" i="23"/>
  <c r="H32" i="19"/>
  <c r="H48" i="19"/>
  <c r="AG78" i="23"/>
  <c r="H10" i="23"/>
  <c r="E11" i="20" s="1"/>
  <c r="C11" i="20" s="1"/>
  <c r="Z10" i="23"/>
  <c r="U11" i="20" s="1"/>
  <c r="S11" i="20" s="1"/>
  <c r="Q10" i="23"/>
  <c r="M11" i="20" s="1"/>
  <c r="K11" i="20" s="1"/>
  <c r="H10" i="19"/>
  <c r="AF47" i="23"/>
  <c r="AG83" i="23"/>
  <c r="H76" i="19"/>
  <c r="AF80" i="23" l="1"/>
  <c r="AI68" i="23"/>
  <c r="AC69" i="20" s="1"/>
  <c r="AA69" i="20" s="1"/>
  <c r="Z75" i="23"/>
  <c r="U76" i="20" s="1"/>
  <c r="S76" i="20" s="1"/>
  <c r="Z65" i="23"/>
  <c r="U66" i="20" s="1"/>
  <c r="S66" i="20" s="1"/>
  <c r="AI29" i="23"/>
  <c r="AC30" i="20" s="1"/>
  <c r="AA30" i="20" s="1"/>
  <c r="Q32" i="23"/>
  <c r="M33" i="20" s="1"/>
  <c r="K33" i="20" s="1"/>
  <c r="AI15" i="23"/>
  <c r="AC16" i="20" s="1"/>
  <c r="AA16" i="20" s="1"/>
  <c r="AF35" i="23"/>
  <c r="AI35" i="23" s="1"/>
  <c r="AC36" i="20" s="1"/>
  <c r="AA36" i="20" s="1"/>
  <c r="AF61" i="23"/>
  <c r="AI61" i="23" s="1"/>
  <c r="AC62" i="20" s="1"/>
  <c r="AA62" i="20" s="1"/>
  <c r="AF18" i="23"/>
  <c r="AI18" i="23" s="1"/>
  <c r="AC19" i="20" s="1"/>
  <c r="AA19" i="20" s="1"/>
  <c r="Q75" i="23"/>
  <c r="M76" i="20" s="1"/>
  <c r="K76" i="20" s="1"/>
  <c r="AI83" i="23"/>
  <c r="AC84" i="20" s="1"/>
  <c r="AA84" i="20" s="1"/>
  <c r="AI52" i="23"/>
  <c r="AC53" i="20" s="1"/>
  <c r="AA53" i="20" s="1"/>
  <c r="AE75" i="23"/>
  <c r="AF53" i="23"/>
  <c r="AI53" i="23" s="1"/>
  <c r="AC54" i="20" s="1"/>
  <c r="AA54" i="20" s="1"/>
  <c r="AE32" i="23"/>
  <c r="AF70" i="23"/>
  <c r="AI70" i="23" s="1"/>
  <c r="AC71" i="20" s="1"/>
  <c r="AA71" i="20" s="1"/>
  <c r="Z32" i="23"/>
  <c r="U33" i="20" s="1"/>
  <c r="S33" i="20" s="1"/>
  <c r="AI50" i="23"/>
  <c r="AC51" i="20" s="1"/>
  <c r="AA51" i="20" s="1"/>
  <c r="Q41" i="23"/>
  <c r="M42" i="20" s="1"/>
  <c r="K42" i="20" s="1"/>
  <c r="AE20" i="23"/>
  <c r="AI20" i="23" s="1"/>
  <c r="AC21" i="20" s="1"/>
  <c r="AA21" i="20" s="1"/>
  <c r="AE67" i="23"/>
  <c r="AI67" i="23" s="1"/>
  <c r="AC68" i="20" s="1"/>
  <c r="AA68" i="20" s="1"/>
  <c r="Q60" i="23"/>
  <c r="M61" i="20" s="1"/>
  <c r="K61" i="20" s="1"/>
  <c r="AF22" i="23"/>
  <c r="AI22" i="23" s="1"/>
  <c r="AC23" i="20" s="1"/>
  <c r="AA23" i="20" s="1"/>
  <c r="AF30" i="23"/>
  <c r="AI30" i="23" s="1"/>
  <c r="AC31" i="20" s="1"/>
  <c r="AA31" i="20" s="1"/>
  <c r="AI28" i="23"/>
  <c r="AC29" i="20" s="1"/>
  <c r="AA29" i="20" s="1"/>
  <c r="H57" i="23"/>
  <c r="E58" i="20" s="1"/>
  <c r="C58" i="20" s="1"/>
  <c r="AI12" i="23"/>
  <c r="AC13" i="20" s="1"/>
  <c r="AA13" i="20" s="1"/>
  <c r="AF79" i="23"/>
  <c r="AI79" i="23" s="1"/>
  <c r="AC80" i="20" s="1"/>
  <c r="AA80" i="20" s="1"/>
  <c r="AE58" i="23"/>
  <c r="AI58" i="23" s="1"/>
  <c r="AC59" i="20" s="1"/>
  <c r="AA59" i="20" s="1"/>
  <c r="Z63" i="23"/>
  <c r="U64" i="20" s="1"/>
  <c r="S64" i="20" s="1"/>
  <c r="Q63" i="23"/>
  <c r="M64" i="20" s="1"/>
  <c r="K64" i="20" s="1"/>
  <c r="H63" i="23"/>
  <c r="E64" i="20" s="1"/>
  <c r="C64" i="20" s="1"/>
  <c r="H63" i="19"/>
  <c r="C65" i="9"/>
  <c r="C66" i="17" s="1"/>
  <c r="H79" i="23"/>
  <c r="E80" i="20" s="1"/>
  <c r="C80" i="20" s="1"/>
  <c r="AF40" i="23"/>
  <c r="AI40" i="23" s="1"/>
  <c r="AC41" i="20" s="1"/>
  <c r="AA41" i="20" s="1"/>
  <c r="Z49" i="23"/>
  <c r="U50" i="20" s="1"/>
  <c r="S50" i="20" s="1"/>
  <c r="AF62" i="23"/>
  <c r="AF49" i="23"/>
  <c r="AF65" i="23"/>
  <c r="Z62" i="23"/>
  <c r="U63" i="20" s="1"/>
  <c r="S63" i="20" s="1"/>
  <c r="Q30" i="23"/>
  <c r="M31" i="20" s="1"/>
  <c r="K31" i="20" s="1"/>
  <c r="AI78" i="23"/>
  <c r="AC79" i="20" s="1"/>
  <c r="AA79" i="20" s="1"/>
  <c r="AF57" i="23"/>
  <c r="Q62" i="23"/>
  <c r="M63" i="20" s="1"/>
  <c r="K63" i="20" s="1"/>
  <c r="AF9" i="23"/>
  <c r="AI9" i="23" s="1"/>
  <c r="AC10" i="20" s="1"/>
  <c r="AA10" i="20" s="1"/>
  <c r="AF55" i="23"/>
  <c r="AI55" i="23" s="1"/>
  <c r="AC56" i="20" s="1"/>
  <c r="AA56" i="20" s="1"/>
  <c r="AF71" i="23"/>
  <c r="AI71" i="23" s="1"/>
  <c r="AC72" i="20" s="1"/>
  <c r="AA72" i="20" s="1"/>
  <c r="AI56" i="23"/>
  <c r="AC57" i="20" s="1"/>
  <c r="AA57" i="20" s="1"/>
  <c r="Q65" i="23"/>
  <c r="M66" i="20" s="1"/>
  <c r="K66" i="20" s="1"/>
  <c r="AI21" i="23"/>
  <c r="AC22" i="20" s="1"/>
  <c r="AA22" i="20" s="1"/>
  <c r="Q57" i="23"/>
  <c r="M58" i="20" s="1"/>
  <c r="K58" i="20" s="1"/>
  <c r="AF64" i="23"/>
  <c r="AI64" i="23" s="1"/>
  <c r="AC65" i="20" s="1"/>
  <c r="AA65" i="20" s="1"/>
  <c r="AF24" i="23"/>
  <c r="AI24" i="23" s="1"/>
  <c r="AC25" i="20" s="1"/>
  <c r="AA25" i="20" s="1"/>
  <c r="AI23" i="23"/>
  <c r="AC24" i="20" s="1"/>
  <c r="AA24" i="20" s="1"/>
  <c r="AI51" i="23"/>
  <c r="AC52" i="20" s="1"/>
  <c r="AA52" i="20" s="1"/>
  <c r="AI44" i="23"/>
  <c r="AC45" i="20" s="1"/>
  <c r="AA45" i="20" s="1"/>
  <c r="AI77" i="23"/>
  <c r="AC78" i="20" s="1"/>
  <c r="AA78" i="20" s="1"/>
  <c r="Z67" i="23"/>
  <c r="U68" i="20" s="1"/>
  <c r="S68" i="20" s="1"/>
  <c r="AE62" i="23"/>
  <c r="H62" i="23"/>
  <c r="E63" i="20" s="1"/>
  <c r="C63" i="20" s="1"/>
  <c r="AE57" i="23"/>
  <c r="Z60" i="23"/>
  <c r="U61" i="20" s="1"/>
  <c r="S61" i="20" s="1"/>
  <c r="AE60" i="23"/>
  <c r="AE49" i="23"/>
  <c r="Z58" i="23"/>
  <c r="U59" i="20" s="1"/>
  <c r="S59" i="20" s="1"/>
  <c r="Q49" i="23"/>
  <c r="M50" i="20" s="1"/>
  <c r="K50" i="20" s="1"/>
  <c r="AF26" i="23"/>
  <c r="AI26" i="23" s="1"/>
  <c r="AC27" i="20" s="1"/>
  <c r="AA27" i="20" s="1"/>
  <c r="AF38" i="23"/>
  <c r="AI38" i="23" s="1"/>
  <c r="AC39" i="20" s="1"/>
  <c r="AA39" i="20" s="1"/>
  <c r="AI80" i="23"/>
  <c r="AC81" i="20" s="1"/>
  <c r="AA81" i="20" s="1"/>
  <c r="AE59" i="23"/>
  <c r="AI59" i="23" s="1"/>
  <c r="AC60" i="20" s="1"/>
  <c r="AA60" i="20" s="1"/>
  <c r="Z26" i="23"/>
  <c r="U27" i="20" s="1"/>
  <c r="S27" i="20" s="1"/>
  <c r="Z73" i="23"/>
  <c r="U74" i="20" s="1"/>
  <c r="S74" i="20" s="1"/>
  <c r="AF19" i="23"/>
  <c r="AI19" i="23" s="1"/>
  <c r="AC20" i="20" s="1"/>
  <c r="AA20" i="20" s="1"/>
  <c r="AE13" i="23"/>
  <c r="AI13" i="23" s="1"/>
  <c r="AC14" i="20" s="1"/>
  <c r="AA14" i="20" s="1"/>
  <c r="D75" i="15"/>
  <c r="D8" i="19"/>
  <c r="H8" i="19" s="1"/>
  <c r="AF42" i="23"/>
  <c r="AI42" i="23" s="1"/>
  <c r="AC43" i="20" s="1"/>
  <c r="AA43" i="20" s="1"/>
  <c r="AF34" i="23"/>
  <c r="AI34" i="23" s="1"/>
  <c r="AC35" i="20" s="1"/>
  <c r="AA35" i="20" s="1"/>
  <c r="AF69" i="23"/>
  <c r="AI69" i="23" s="1"/>
  <c r="AC70" i="20" s="1"/>
  <c r="AA70" i="20" s="1"/>
  <c r="AE84" i="23"/>
  <c r="AI84" i="23" s="1"/>
  <c r="AC85" i="20" s="1"/>
  <c r="AA85" i="20" s="1"/>
  <c r="Q38" i="23"/>
  <c r="M39" i="20" s="1"/>
  <c r="K39" i="20" s="1"/>
  <c r="AF14" i="23"/>
  <c r="AI14" i="23" s="1"/>
  <c r="AC15" i="20" s="1"/>
  <c r="AA15" i="20" s="1"/>
  <c r="H73" i="23"/>
  <c r="E74" i="20" s="1"/>
  <c r="C74" i="20" s="1"/>
  <c r="C72" i="10"/>
  <c r="C73" i="15" s="1"/>
  <c r="D73" i="15"/>
  <c r="AF81" i="23"/>
  <c r="AI81" i="23" s="1"/>
  <c r="AC82" i="20" s="1"/>
  <c r="AA82" i="20" s="1"/>
  <c r="AE47" i="23"/>
  <c r="AI47" i="23" s="1"/>
  <c r="AC48" i="20" s="1"/>
  <c r="AA48" i="20" s="1"/>
  <c r="Q47" i="23"/>
  <c r="M48" i="20" s="1"/>
  <c r="K48" i="20" s="1"/>
  <c r="H64" i="23"/>
  <c r="E65" i="20" s="1"/>
  <c r="C65" i="20" s="1"/>
  <c r="AF54" i="23"/>
  <c r="AI54" i="23" s="1"/>
  <c r="AC55" i="20" s="1"/>
  <c r="AA55" i="20" s="1"/>
  <c r="Q13" i="23"/>
  <c r="M14" i="20" s="1"/>
  <c r="K14" i="20" s="1"/>
  <c r="Q59" i="23"/>
  <c r="M60" i="20" s="1"/>
  <c r="K60" i="20" s="1"/>
  <c r="AF41" i="23"/>
  <c r="AI41" i="23" s="1"/>
  <c r="AC42" i="20" s="1"/>
  <c r="AA42" i="20" s="1"/>
  <c r="AF33" i="23"/>
  <c r="AI33" i="23" s="1"/>
  <c r="AC34" i="20" s="1"/>
  <c r="AA34" i="20" s="1"/>
  <c r="AF36" i="23"/>
  <c r="AI36" i="23" s="1"/>
  <c r="AC37" i="20" s="1"/>
  <c r="AA37" i="20" s="1"/>
  <c r="Z36" i="23"/>
  <c r="U37" i="20" s="1"/>
  <c r="S37" i="20" s="1"/>
  <c r="AE45" i="23"/>
  <c r="AI45" i="23" s="1"/>
  <c r="AC46" i="20" s="1"/>
  <c r="AA46" i="20" s="1"/>
  <c r="Q43" i="23"/>
  <c r="M44" i="20" s="1"/>
  <c r="K44" i="20" s="1"/>
  <c r="AF11" i="23"/>
  <c r="AI11" i="23" s="1"/>
  <c r="AC12" i="20" s="1"/>
  <c r="AA12" i="20" s="1"/>
  <c r="AF25" i="23"/>
  <c r="AE66" i="23"/>
  <c r="AI66" i="23" s="1"/>
  <c r="AC67" i="20" s="1"/>
  <c r="AA67" i="20" s="1"/>
  <c r="H43" i="23"/>
  <c r="E44" i="20" s="1"/>
  <c r="C44" i="20" s="1"/>
  <c r="H34" i="23"/>
  <c r="E35" i="20" s="1"/>
  <c r="C35" i="20" s="1"/>
  <c r="AF43" i="23"/>
  <c r="AF82" i="23"/>
  <c r="AI82" i="23" s="1"/>
  <c r="AC83" i="20" s="1"/>
  <c r="AA83" i="20" s="1"/>
  <c r="AE43" i="23"/>
  <c r="AE31" i="23"/>
  <c r="AI31" i="23" s="1"/>
  <c r="AC32" i="20" s="1"/>
  <c r="AA32" i="20" s="1"/>
  <c r="AE65" i="23"/>
  <c r="Q19" i="23"/>
  <c r="M20" i="20" s="1"/>
  <c r="K20" i="20" s="1"/>
  <c r="Q25" i="23"/>
  <c r="M26" i="20" s="1"/>
  <c r="K26" i="20" s="1"/>
  <c r="AE46" i="23"/>
  <c r="AI46" i="23" s="1"/>
  <c r="AC47" i="20" s="1"/>
  <c r="AA47" i="20" s="1"/>
  <c r="AF60" i="23"/>
  <c r="AE73" i="23"/>
  <c r="Q73" i="23"/>
  <c r="M74" i="20" s="1"/>
  <c r="K74" i="20" s="1"/>
  <c r="AF32" i="23"/>
  <c r="X85" i="23"/>
  <c r="Q24" i="24" s="1"/>
  <c r="F85" i="23"/>
  <c r="E24" i="24" s="1"/>
  <c r="O85" i="23"/>
  <c r="K24" i="24" s="1"/>
  <c r="F85" i="19"/>
  <c r="AF75" i="23"/>
  <c r="H25" i="23"/>
  <c r="E26" i="20" s="1"/>
  <c r="C26" i="20" s="1"/>
  <c r="AF76" i="23"/>
  <c r="AI76" i="23" s="1"/>
  <c r="AC77" i="20" s="1"/>
  <c r="AA77" i="20" s="1"/>
  <c r="AF72" i="23"/>
  <c r="AI72" i="23" s="1"/>
  <c r="AC73" i="20" s="1"/>
  <c r="AA73" i="20" s="1"/>
  <c r="AF48" i="23"/>
  <c r="AI48" i="23" s="1"/>
  <c r="AC49" i="20" s="1"/>
  <c r="AA49" i="20" s="1"/>
  <c r="Z43" i="23"/>
  <c r="U44" i="20" s="1"/>
  <c r="S44" i="20" s="1"/>
  <c r="AI17" i="23"/>
  <c r="AC18" i="20" s="1"/>
  <c r="AA18" i="20" s="1"/>
  <c r="Z69" i="23"/>
  <c r="U70" i="20" s="1"/>
  <c r="S70" i="20" s="1"/>
  <c r="AF27" i="23"/>
  <c r="AI27" i="23" s="1"/>
  <c r="AC28" i="20" s="1"/>
  <c r="AA28" i="20" s="1"/>
  <c r="E85" i="19"/>
  <c r="H76" i="23"/>
  <c r="E77" i="20" s="1"/>
  <c r="C77" i="20" s="1"/>
  <c r="AF73" i="23"/>
  <c r="AF10" i="23"/>
  <c r="AI10" i="23" s="1"/>
  <c r="AC11" i="20" s="1"/>
  <c r="AA11" i="20" s="1"/>
  <c r="AF16" i="23"/>
  <c r="AI16" i="23" s="1"/>
  <c r="AC17" i="20" s="1"/>
  <c r="AA17" i="20" s="1"/>
  <c r="H16" i="23"/>
  <c r="E17" i="20" s="1"/>
  <c r="C17" i="20" s="1"/>
  <c r="AE74" i="23"/>
  <c r="AI74" i="23" s="1"/>
  <c r="AC75" i="20" s="1"/>
  <c r="AA75" i="20" s="1"/>
  <c r="AE25" i="23"/>
  <c r="Z25" i="23"/>
  <c r="U26" i="20" s="1"/>
  <c r="S26" i="20" s="1"/>
  <c r="AI32" i="23" l="1"/>
  <c r="AC33" i="20" s="1"/>
  <c r="AA33" i="20" s="1"/>
  <c r="AI49" i="23"/>
  <c r="AC50" i="20" s="1"/>
  <c r="AA50" i="20" s="1"/>
  <c r="AI75" i="23"/>
  <c r="AC76" i="20" s="1"/>
  <c r="AA76" i="20" s="1"/>
  <c r="W85" i="23"/>
  <c r="Q21" i="24" s="1"/>
  <c r="N85" i="23"/>
  <c r="K21" i="24" s="1"/>
  <c r="AI60" i="23"/>
  <c r="AC61" i="20" s="1"/>
  <c r="AA61" i="20" s="1"/>
  <c r="AI62" i="23"/>
  <c r="AC63" i="20" s="1"/>
  <c r="AA63" i="20" s="1"/>
  <c r="AF63" i="23"/>
  <c r="AI63" i="23" s="1"/>
  <c r="AC64" i="20" s="1"/>
  <c r="AA64" i="20" s="1"/>
  <c r="AI65" i="23"/>
  <c r="AC66" i="20" s="1"/>
  <c r="AA66" i="20" s="1"/>
  <c r="AI57" i="23"/>
  <c r="AC58" i="20" s="1"/>
  <c r="AA58" i="20" s="1"/>
  <c r="AI25" i="23"/>
  <c r="AC26" i="20" s="1"/>
  <c r="AA26" i="20" s="1"/>
  <c r="AI43" i="23"/>
  <c r="AC44" i="20" s="1"/>
  <c r="AA44" i="20" s="1"/>
  <c r="D85" i="23"/>
  <c r="E18" i="24" s="1"/>
  <c r="D85" i="19"/>
  <c r="V85" i="23"/>
  <c r="Q18" i="24" s="1"/>
  <c r="AF8" i="23"/>
  <c r="E85" i="23"/>
  <c r="E21" i="24" s="1"/>
  <c r="AG8" i="23"/>
  <c r="H85" i="19"/>
  <c r="AI73" i="23"/>
  <c r="AC74" i="20" s="1"/>
  <c r="AA74" i="20" s="1"/>
  <c r="H8" i="23" l="1"/>
  <c r="E9" i="20" s="1"/>
  <c r="AF85" i="23"/>
  <c r="W21" i="24" s="1"/>
  <c r="Z8" i="23"/>
  <c r="U9" i="20" s="1"/>
  <c r="AE8" i="23"/>
  <c r="AE85" i="23" s="1"/>
  <c r="W18" i="24" s="1"/>
  <c r="M85" i="23"/>
  <c r="K18" i="24" s="1"/>
  <c r="Q8" i="23"/>
  <c r="AG85" i="23"/>
  <c r="W24" i="24" s="1"/>
  <c r="H85" i="23" l="1"/>
  <c r="E30" i="24" s="1"/>
  <c r="Z85" i="23"/>
  <c r="Q30" i="24" s="1"/>
  <c r="AI8" i="23"/>
  <c r="AC9" i="20" s="1"/>
  <c r="M9" i="20"/>
  <c r="Q85" i="23"/>
  <c r="K30" i="24" s="1"/>
  <c r="E86" i="20"/>
  <c r="C9" i="20"/>
  <c r="U86" i="20"/>
  <c r="S9" i="20"/>
  <c r="AI85" i="23" l="1"/>
  <c r="W30" i="24" s="1"/>
  <c r="M86" i="20"/>
  <c r="K9" i="20"/>
  <c r="AA9" i="20"/>
  <c r="AC86" i="20"/>
</calcChain>
</file>

<file path=xl/comments1.xml><?xml version="1.0" encoding="utf-8"?>
<comments xmlns="http://schemas.openxmlformats.org/spreadsheetml/2006/main">
  <authors>
    <author>Gemperle, Mario</author>
  </authors>
  <commentList>
    <comment ref="C13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Durchschnittlicher Steuerfuss aller Gemeinden
Berechnung (Effektiver Nettoertrag aller Gemeinden / Einfache Steuer aller Gemeinden) - siehe auch Art. 6 Abs. 1 VV FAG</t>
        </r>
      </text>
    </comment>
    <comment ref="C35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durchschnittlicher Steuersatz aller Gemeinden</t>
        </r>
      </text>
    </comment>
  </commentList>
</comments>
</file>

<file path=xl/comments2.xml><?xml version="1.0" encoding="utf-8"?>
<comments xmlns="http://schemas.openxmlformats.org/spreadsheetml/2006/main">
  <authors>
    <author>Gemperle, Mario</author>
  </authors>
  <commentList>
    <comment ref="B60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Massgebend ist der Mittelwert analog Ressourcenausgleich! Gemäss Rücksprache mit Bruno Schaible vom 6. August 2020</t>
        </r>
      </text>
    </comment>
  </commentList>
</comments>
</file>

<file path=xl/comments3.xml><?xml version="1.0" encoding="utf-8"?>
<comments xmlns="http://schemas.openxmlformats.org/spreadsheetml/2006/main">
  <authors>
    <author>Gemperle, Mario</author>
  </authors>
  <commentList>
    <comment ref="B48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Massgebend ist der Mittelwert analog Ressourcenausgleich! Gemäss Rücksprache mit Bruno Schaible vom 6. August 2020</t>
        </r>
      </text>
    </comment>
  </commentList>
</comments>
</file>

<file path=xl/comments4.xml><?xml version="1.0" encoding="utf-8"?>
<comments xmlns="http://schemas.openxmlformats.org/spreadsheetml/2006/main">
  <authors>
    <author>Gemperle, Mario</author>
  </authors>
  <commentList>
    <comment ref="B21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HRM1: Funktion 54 und 5303</t>
        </r>
      </text>
    </comment>
    <comment ref="B32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HRM1: Funktion 58</t>
        </r>
      </text>
    </comment>
  </commentList>
</comments>
</file>

<file path=xl/comments5.xml><?xml version="1.0" encoding="utf-8"?>
<comments xmlns="http://schemas.openxmlformats.org/spreadsheetml/2006/main">
  <authors>
    <author>Gemperle, Mario</author>
  </authors>
  <commentList>
    <comment ref="J5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Achtung! Keine Formel hinterlegt! Kopie von der Tabelle der in Aussicht gestellten Beiträge!</t>
        </r>
      </text>
    </comment>
  </commentList>
</comments>
</file>

<file path=xl/comments6.xml><?xml version="1.0" encoding="utf-8"?>
<comments xmlns="http://schemas.openxmlformats.org/spreadsheetml/2006/main">
  <authors>
    <author>Gemperle, Mario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Achtung! Formeln wurden entfernt! Zahlen entsprechen den vorgenommenen Auszahlungen!</t>
        </r>
      </text>
    </comment>
  </commentList>
</comments>
</file>

<file path=xl/sharedStrings.xml><?xml version="1.0" encoding="utf-8"?>
<sst xmlns="http://schemas.openxmlformats.org/spreadsheetml/2006/main" count="2325" uniqueCount="318">
  <si>
    <t>Quellensteuer</t>
  </si>
  <si>
    <t>Gewinn- und Kapitalsteuer</t>
  </si>
  <si>
    <t>Handänderungssteuer</t>
  </si>
  <si>
    <t>Grundstückgewinnsteuer</t>
  </si>
  <si>
    <t>Einkommens-/Vermögenssteuer</t>
  </si>
  <si>
    <t>St.Gallen</t>
  </si>
  <si>
    <t>Wittenbach</t>
  </si>
  <si>
    <t>Häggenschwil</t>
  </si>
  <si>
    <t>Muolen</t>
  </si>
  <si>
    <t>Mörschwil</t>
  </si>
  <si>
    <t>Goldach</t>
  </si>
  <si>
    <t>Steinach</t>
  </si>
  <si>
    <t>Berg</t>
  </si>
  <si>
    <t>Tübach</t>
  </si>
  <si>
    <t>Untereggen</t>
  </si>
  <si>
    <t>Eggersriet</t>
  </si>
  <si>
    <t>Rorschacherberg</t>
  </si>
  <si>
    <t>Rorschach</t>
  </si>
  <si>
    <t>Thal</t>
  </si>
  <si>
    <t>Rheineck</t>
  </si>
  <si>
    <t>St.Margrethen</t>
  </si>
  <si>
    <t>Au</t>
  </si>
  <si>
    <t>Berneck</t>
  </si>
  <si>
    <t>Balgach</t>
  </si>
  <si>
    <t>Diepoldsau</t>
  </si>
  <si>
    <t>Widnau</t>
  </si>
  <si>
    <t>Rebstein</t>
  </si>
  <si>
    <t>Marbach</t>
  </si>
  <si>
    <t>Altstätten</t>
  </si>
  <si>
    <t>Eichberg</t>
  </si>
  <si>
    <t>Oberriet</t>
  </si>
  <si>
    <t>Rüthi</t>
  </si>
  <si>
    <t>Sennwald</t>
  </si>
  <si>
    <t>Gams</t>
  </si>
  <si>
    <t>Grabs</t>
  </si>
  <si>
    <t>Buchs</t>
  </si>
  <si>
    <t>Sevelen</t>
  </si>
  <si>
    <t>Wartau</t>
  </si>
  <si>
    <t>Sargans</t>
  </si>
  <si>
    <t>Vilters-Wangs</t>
  </si>
  <si>
    <t>Bad Ragaz</t>
  </si>
  <si>
    <t>Pfäfers</t>
  </si>
  <si>
    <t>Mels</t>
  </si>
  <si>
    <t>Flums</t>
  </si>
  <si>
    <t>Walenstadt</t>
  </si>
  <si>
    <t>Quarten</t>
  </si>
  <si>
    <t>Amden</t>
  </si>
  <si>
    <t>Weesen</t>
  </si>
  <si>
    <t>Schänis</t>
  </si>
  <si>
    <t>Benken</t>
  </si>
  <si>
    <t>Kaltbrunn</t>
  </si>
  <si>
    <t>Gommiswald</t>
  </si>
  <si>
    <t>Uznach</t>
  </si>
  <si>
    <t>Schmerikon</t>
  </si>
  <si>
    <t>Rapperswil-Jona</t>
  </si>
  <si>
    <t>Eschenbach</t>
  </si>
  <si>
    <t>Wildhaus-Alt St.Johann</t>
  </si>
  <si>
    <t>Nesslau</t>
  </si>
  <si>
    <t>Ebnat-Kappel</t>
  </si>
  <si>
    <t>Wattwil</t>
  </si>
  <si>
    <t>Lichtensteig</t>
  </si>
  <si>
    <t>Oberhelfenschwil</t>
  </si>
  <si>
    <t>Neckertal</t>
  </si>
  <si>
    <t>Hemberg</t>
  </si>
  <si>
    <t>Bütschwil-Ganterschwil</t>
  </si>
  <si>
    <t>Lütisburg</t>
  </si>
  <si>
    <t>Mosnang</t>
  </si>
  <si>
    <t>Kirchberg</t>
  </si>
  <si>
    <t>Jonschwil</t>
  </si>
  <si>
    <t>Oberuzwil</t>
  </si>
  <si>
    <t>Uzwil</t>
  </si>
  <si>
    <t>Flawil</t>
  </si>
  <si>
    <t>Degersheim</t>
  </si>
  <si>
    <t>Wil</t>
  </si>
  <si>
    <t>Zuzwil</t>
  </si>
  <si>
    <t>Oberbüren</t>
  </si>
  <si>
    <t>Niederbüren</t>
  </si>
  <si>
    <t>Niederhelfenschwil</t>
  </si>
  <si>
    <t>Gossau</t>
  </si>
  <si>
    <t>Andwil</t>
  </si>
  <si>
    <t>Waldkirch</t>
  </si>
  <si>
    <t>Gaiserwald</t>
  </si>
  <si>
    <t>Total</t>
  </si>
  <si>
    <t>Einwohnerzahl per 31.12.</t>
  </si>
  <si>
    <t>Bruttoertrag</t>
  </si>
  <si>
    <t>Erlasse/Verluste</t>
  </si>
  <si>
    <t>Nettoertrag</t>
  </si>
  <si>
    <t>Grundsteuer (ord. Satz)</t>
  </si>
  <si>
    <t>Grundsteuer (Spezialsatz)</t>
  </si>
  <si>
    <t>Abschreibungen</t>
  </si>
  <si>
    <t>pauschale Steueranrechnung</t>
  </si>
  <si>
    <t>Steuerfuss</t>
  </si>
  <si>
    <t>Standardisierter Ertrag</t>
  </si>
  <si>
    <t>Nettoertrag (standardisierter Ertrag)</t>
  </si>
  <si>
    <t>Steuersatz in ‰</t>
  </si>
  <si>
    <t>Ertrag bei Satz von 1‰</t>
  </si>
  <si>
    <t>Berechnung der technischen Steuerkraft</t>
  </si>
  <si>
    <t>Einfache Steuer Brutto</t>
  </si>
  <si>
    <t>Einfache Steuer Netto</t>
  </si>
  <si>
    <t>Effektiver Nettoertrag</t>
  </si>
  <si>
    <t>Steuerdaten 2019</t>
  </si>
  <si>
    <t>Steuerdaten 2018</t>
  </si>
  <si>
    <t>1.)</t>
  </si>
  <si>
    <t>2.)</t>
  </si>
  <si>
    <t>3.)</t>
  </si>
  <si>
    <t>Technische Steuerkraft 2019</t>
  </si>
  <si>
    <t>Technische Steuerkraft 2018</t>
  </si>
  <si>
    <t>Mittelwert technische Steuerkraft 2018/2019</t>
  </si>
  <si>
    <t>Berechnung Ressourcenausgleichsbeitrag</t>
  </si>
  <si>
    <t>4.)</t>
  </si>
  <si>
    <t>Ausgleichsfaktor</t>
  </si>
  <si>
    <t>Ressourcenausgleichsbeitrag</t>
  </si>
  <si>
    <t>Technische Steuerkraft pro Einwohner</t>
  </si>
  <si>
    <t>Eingabefelder</t>
  </si>
  <si>
    <t>Quelle</t>
  </si>
  <si>
    <t>KStA</t>
  </si>
  <si>
    <t>Gemeinden</t>
  </si>
  <si>
    <t>KStA/Gemeinden</t>
  </si>
  <si>
    <t>Bundesamt für Statistik</t>
  </si>
  <si>
    <t>Beschluss Kantonsrat</t>
  </si>
  <si>
    <t>Sonderlastenausgleich Stadt St.Gallen 2021</t>
  </si>
  <si>
    <t>Ressourcenausgleich 2021</t>
  </si>
  <si>
    <t>Berechnung SL Stadt St.Gallen</t>
  </si>
  <si>
    <t>Ausgleichsbeitrag gemäss Art. 25 Abs. 1 FAG</t>
  </si>
  <si>
    <t>zusätzlicher Ausgleichsbeitrag gemäss Art. 25 Abs. 2 FAG</t>
  </si>
  <si>
    <t>Indexstand Juni 2020</t>
  </si>
  <si>
    <t>(Dezember 2005 = 100)</t>
  </si>
  <si>
    <t>Indexstand Juni 2007 (Basis)</t>
  </si>
  <si>
    <t>Sonderlastenausgleich Schule 2021</t>
  </si>
  <si>
    <t>Allgemeine Daten</t>
  </si>
  <si>
    <t>Schülerzahlen Volksschule per 31.12.2019</t>
  </si>
  <si>
    <t>Schülerzahlen Sonderschule per 31.12.2019</t>
  </si>
  <si>
    <t>BLD-Sozialindex per 31.12.</t>
  </si>
  <si>
    <t>Nettoaufwand Schule aus Konto 21</t>
  </si>
  <si>
    <t>Abschreibungen Schule Kto. 99 in Einheitsgemeinden</t>
  </si>
  <si>
    <t>Nettoaufwand Schulrat Kto. 03 in Einheitsgemeinden</t>
  </si>
  <si>
    <t>GFS</t>
  </si>
  <si>
    <t>BLD</t>
  </si>
  <si>
    <t>Fachstelle für Statistik</t>
  </si>
  <si>
    <t>Berechnung Sonderlastenausgleich Schule</t>
  </si>
  <si>
    <t>Sonderlasten Sonderschule</t>
  </si>
  <si>
    <t>Sonderschüler je Einwohner</t>
  </si>
  <si>
    <t>Pauschalbeitrag je Schüler in der Sonderschule</t>
  </si>
  <si>
    <t>Beitragssatz Sonderschule</t>
  </si>
  <si>
    <t>Sonder-/Minderlasten Volksschule</t>
  </si>
  <si>
    <t>2.1)</t>
  </si>
  <si>
    <t>2.2)</t>
  </si>
  <si>
    <t>Beitragssatz Volksschule bei überdurchschnittlicher Belastung</t>
  </si>
  <si>
    <t>Beitragssatz Volksschule bei unterdurchschnittlicher Belastung</t>
  </si>
  <si>
    <t>Volksschüler je Einwohner</t>
  </si>
  <si>
    <t>reduzierter BLD-Sozialindex per 31.12.</t>
  </si>
  <si>
    <t>Kantonaler Durchschnitt Kosten je Schüler</t>
  </si>
  <si>
    <t>Sonder-/Minderlasten Volksschule (vor allfälliger Kürzung)</t>
  </si>
  <si>
    <t>Sonderlasten Sonderschule (vor allfälliger Kürzung)</t>
  </si>
  <si>
    <t>2.3)</t>
  </si>
  <si>
    <t>Sonderlastenausgleich Schule (vor allfälliger Kürzung)</t>
  </si>
  <si>
    <t>Kürzung infolge hoher technischer Steuerkraft</t>
  </si>
  <si>
    <t>in %</t>
  </si>
  <si>
    <t>Technische Steuerkraft in % zum kantonalen Durchschnitt</t>
  </si>
  <si>
    <t>Kürzungsfaktor in %</t>
  </si>
  <si>
    <t>2.4)</t>
  </si>
  <si>
    <t>Zusammenfassung</t>
  </si>
  <si>
    <t>Beitrag Sonderlastenausgleich Schule</t>
  </si>
  <si>
    <t>Kürzung in Fr.</t>
  </si>
  <si>
    <t>1.1)</t>
  </si>
  <si>
    <t>1.2)</t>
  </si>
  <si>
    <t>1.3)</t>
  </si>
  <si>
    <t>1.4)</t>
  </si>
  <si>
    <t>1.5)</t>
  </si>
  <si>
    <t>1.6)</t>
  </si>
  <si>
    <t>1.7)</t>
  </si>
  <si>
    <t>2.5)</t>
  </si>
  <si>
    <t>2.6)</t>
  </si>
  <si>
    <t>2.7)</t>
  </si>
  <si>
    <t>3.1)</t>
  </si>
  <si>
    <t>3.2)</t>
  </si>
  <si>
    <t>3.3)</t>
  </si>
  <si>
    <t>Sonderlastenausgleich Weite 2021</t>
  </si>
  <si>
    <t>gewichtete Strassenlänge in km per 31.12.</t>
  </si>
  <si>
    <t>Streuung des Siedlungsgebiets</t>
  </si>
  <si>
    <t>Gemeindefläche in ha per 31.12.</t>
  </si>
  <si>
    <t>Berechnung Sonderlastenausgleich Weite</t>
  </si>
  <si>
    <t>Länge des Strassennetzes</t>
  </si>
  <si>
    <t>Wohnbevölkerung mit Wohnsitz über 800 Metern über Meer</t>
  </si>
  <si>
    <t>geringe Einwohnerdichte</t>
  </si>
  <si>
    <t xml:space="preserve">gewichtete Strassenlänge in km pro Einwohner </t>
  </si>
  <si>
    <t>Anteil an Gesamtbevölkerung</t>
  </si>
  <si>
    <t>Gemeindefläche je Einwohner</t>
  </si>
  <si>
    <t>Pauschalbeitrag je gewichtetem Kilometer</t>
  </si>
  <si>
    <t>Beitrag je Einwohner</t>
  </si>
  <si>
    <t>Sonderlast total</t>
  </si>
  <si>
    <t>Pauschalbeitrag je Einwohner</t>
  </si>
  <si>
    <t>Pauschalbeitrag je ha je Einwohner</t>
  </si>
  <si>
    <t>Sonderlastenausgleich Weite (vor allfälliger Kürzung)</t>
  </si>
  <si>
    <t>Korrekturwert</t>
  </si>
  <si>
    <t>Korrekturwert je Einwohner für mittlere Belastung</t>
  </si>
  <si>
    <t>Minderlast total</t>
  </si>
  <si>
    <t>Beitrag Sonderlastenausgleich Weite</t>
  </si>
  <si>
    <t>BD</t>
  </si>
  <si>
    <t>FAG</t>
  </si>
  <si>
    <t>Soziodemographischer Sonderlastenausgleich 2021</t>
  </si>
  <si>
    <t>Berechnung Soziodemographischer Sonderlastenausgleich</t>
  </si>
  <si>
    <t>Sonderlasten Familie und Jugend</t>
  </si>
  <si>
    <t>Sonder-/Minderlasten Sozialhilfe</t>
  </si>
  <si>
    <t>Sonder-/Minderlasten Stationäre Pflege</t>
  </si>
  <si>
    <t>Beitragssatz bei überdurchschnittlicher Belastung</t>
  </si>
  <si>
    <t>Beitragssatz bei unterdurchschnittlicher Belastung</t>
  </si>
  <si>
    <t>Nettoaufwand Familie und Jugend pro Einwohner</t>
  </si>
  <si>
    <t>Nettoaufwand Finanzielle Sozialhilfe pro Einwohner</t>
  </si>
  <si>
    <t>Nettoaufwand Stationäre Pflege</t>
  </si>
  <si>
    <t>Nettoaufwand Stationäre Pflege pro Einwohner</t>
  </si>
  <si>
    <t>Nettoaufwand Schulgesundheitsdienst Kto. 433 in Einheitsgemeinden</t>
  </si>
  <si>
    <t>Nettoaufwand Finanzielle Sozialhilfe (Funktion 572)</t>
  </si>
  <si>
    <t>Beitrag Soziodemographischer Sonderlastenausgleich</t>
  </si>
  <si>
    <t>Beitrag Sonderlastenausgleich Stadt St.Gallen</t>
  </si>
  <si>
    <t>Einwohner über 800m per 31.12.</t>
  </si>
  <si>
    <t>Streuung des Siedlungsgebiets per 31.12.</t>
  </si>
  <si>
    <t>Kanton St.Gallen</t>
  </si>
  <si>
    <t>Amt für Gemeinden und Bürgerrecht</t>
  </si>
  <si>
    <t>Politische Gemeinde:</t>
  </si>
  <si>
    <t>Ressourcenausgleich</t>
  </si>
  <si>
    <t>Sonderlastenausgleich Weite</t>
  </si>
  <si>
    <t>Sonderlastenausgleich Schule</t>
  </si>
  <si>
    <t>Soziodemographischer Sonderlastenausgleich</t>
  </si>
  <si>
    <t>Sonderlastenausgleich Stadt</t>
  </si>
  <si>
    <t>bitte Gemeinde auswählen</t>
  </si>
  <si>
    <t>für die Berechnung relevante Basisdaten</t>
  </si>
  <si>
    <t>Nettoaufwand Familie und Jugend (Funktion 54)</t>
  </si>
  <si>
    <t>Details</t>
  </si>
  <si>
    <t>Ressourcen-ausgleich</t>
  </si>
  <si>
    <t>Sonderlasten-ausgleich Weite</t>
  </si>
  <si>
    <t>Soziodemogra-phischer Sonder-lastenausgleich</t>
  </si>
  <si>
    <t>Sonderlasten-ausgleich Schule</t>
  </si>
  <si>
    <t>Sonderlasten-ausgleich Stadt St.Gallen</t>
  </si>
  <si>
    <t>Nr.</t>
  </si>
  <si>
    <t>Gemeinde</t>
  </si>
  <si>
    <t>Finanzausgleich 2021 / in Aussicht gestellte Beiträge</t>
  </si>
  <si>
    <t>Finanzausgleich 2021 / Auszahlung 1. Rate März</t>
  </si>
  <si>
    <t>Finanzausgleich 2021 / Auszahlung 2. Rate Juni</t>
  </si>
  <si>
    <t>Finanzausgleich 2021 / Auszahlung 3. Rate September</t>
  </si>
  <si>
    <t>Finanzausgleich 2021 / Auszahlung 4. Rate Dezember</t>
  </si>
  <si>
    <t>Kreditor</t>
  </si>
  <si>
    <t>Btyp</t>
  </si>
  <si>
    <t>0000</t>
  </si>
  <si>
    <t>0003</t>
  </si>
  <si>
    <t>0001</t>
  </si>
  <si>
    <t>0005</t>
  </si>
  <si>
    <t>0002</t>
  </si>
  <si>
    <t>0004</t>
  </si>
  <si>
    <t>Kreditorenbeleg 1. Rate März</t>
  </si>
  <si>
    <t>Finanzausgleich 2021</t>
  </si>
  <si>
    <t>Total Auszahlung
15. März 2021</t>
  </si>
  <si>
    <t>Kontierung</t>
  </si>
  <si>
    <t>Kreditorenbeleg 2. Rate Juni</t>
  </si>
  <si>
    <t>Total Auszahlung
15. Juni 2021</t>
  </si>
  <si>
    <t>Kreditorenbeleg 3. Rate September</t>
  </si>
  <si>
    <t>Kreditorenbeleg 4. Rate Dezember</t>
  </si>
  <si>
    <t>Total Auszahlung
15. Dezember 2021</t>
  </si>
  <si>
    <t>Total Auszahlung
15. September 2021</t>
  </si>
  <si>
    <t>Kontierungsbeleg</t>
  </si>
  <si>
    <t>1. Auszahlung innerkantonaler Finanzausgleich gemäss Art. 47 Finanzausgleichsgesetz (sGS 813.1; abgekürzt FAG)</t>
  </si>
  <si>
    <t>Die Finanzausgleichsbeiträge für die Auszahlung vom 15. März 2021 setzen sich die folgt zusammen (siehe auch Beilage):</t>
  </si>
  <si>
    <t xml:space="preserve">Fr. </t>
  </si>
  <si>
    <t>2. Auszahlung innerkantonaler Finanzausgleich gemäss Art. 47 Finanzausgleichsgesetz (sGS 813.1; abgekürzt FAG)</t>
  </si>
  <si>
    <t>Die Finanzausgleichsbeiträge für die Auszahlung vom 15. Juni 2021 setzen sich die folgt zusammen (siehe auch Beilage):</t>
  </si>
  <si>
    <t>3. Auszahlung innerkantonaler Finanzausgleich gemäss Art. 47 Finanzausgleichsgesetz (sGS 813.1; abgekürzt FAG)</t>
  </si>
  <si>
    <t>4. Auszahlung innerkantonaler Finanzausgleich gemäss Art. 47 Finanzausgleichsgesetz (sGS 813.1; abgekürzt FAG)</t>
  </si>
  <si>
    <t>Die Finanzausgleichsbeiträge für die Auszahlung vom 15. September 2021 setzen sich die folgt zusammen (siehe auch Beilage):</t>
  </si>
  <si>
    <t>Die Finanzausgleichsbeiträge für die Auszahlung vom 15. Dezember 2021 setzen sich die folgt zusammen (siehe auch Beilage):</t>
  </si>
  <si>
    <t>Berechnung Finanzausgleichsbeiträge 2021</t>
  </si>
  <si>
    <t>In dieser Datei werden die Finanzausgleichsbeiträge für das Jahr 2021 berechnet.</t>
  </si>
  <si>
    <t>In den grünen Laschen werden die Berechnungen vorgenommen. Diese Laschen sind ausschliesslich für den internen Gebrauch!</t>
  </si>
  <si>
    <t>Die drei blauen Laschen werden für die Auszahlungen der Finanzausgleichsbeiträge benötigt!</t>
  </si>
  <si>
    <t>Die roten Laschen dienen als Informationszweck für die Gemeinden. Diese Informationen werden regelmässig auf der Homepage aufgeschaltet! Bei der Aufschaltungsdatei sind die nicht relevanten Laschen auszublenden!</t>
  </si>
  <si>
    <t>Soll
 3700001000.347200</t>
  </si>
  <si>
    <t>Soll
 3700001000.347211</t>
  </si>
  <si>
    <t>Soll
 3700001000.347212</t>
  </si>
  <si>
    <t>Soll
 3700001000.347214</t>
  </si>
  <si>
    <t>Soll
 3700001000.347213</t>
  </si>
  <si>
    <t>Ressourcenausgleich (1. Rate; Art. 5 ff. FAG)
AFGB 3700001000.347200 an AFGB 200399 / 3C.FA</t>
  </si>
  <si>
    <t>Sonderlastenausgleich Weite (1. Rate; Art. 11 ff. FAG)
AFGB 3700001000.347211 an AFGB 200399 / 3C.FA</t>
  </si>
  <si>
    <t>Sonderlastenausgleich Schule (1. Rate; Art. 18 ff. FAG)
AFGB 3700001000.347212 an AFGB 200399 / 3C.FA</t>
  </si>
  <si>
    <t>Soziodemographischer Sonderlastenausgleich (1. Rate; Art. 17a ff. FAG)
AFGB 3700001000.347214 an AFGB 200399 / 3C.FA</t>
  </si>
  <si>
    <t>Sonderlastenausgleich Stadt (1. Rate; Art. 24 ff. FAG)
AFGB 3700001000.347213 an AFGB 200399 / 3C.FA</t>
  </si>
  <si>
    <t>Soll
AFGB 200399 / 3C.FA</t>
  </si>
  <si>
    <t>Ressourcenausgleich (2. Rate; Art. 5 ff. FAG)
AFGB 3700001000.347200 an AFGB 200399 / 3P.FA</t>
  </si>
  <si>
    <t>Sonderlastenausgleich Weite (2. Rate; Art. 11 ff. FAG)
AFGB 3700001000.347211 an AFGB 200399 / 3P.FA</t>
  </si>
  <si>
    <t>Sonderlastenausgleich Stadt (2. Rate; Art. 24 ff. FAG)
AFGB 3700001000.347213 an AFGB 200399 / 3P.FA</t>
  </si>
  <si>
    <t>Sonderlastenausgleich Schule (2. Rate; Art. 18 ff. FAG)
AFGB 3700001000.347212 an AFGB 200399 / 3P.FA</t>
  </si>
  <si>
    <t>Soziodemographischer Sonderlastenausgleich (2. Rate; Art. 17a ff. FAG)
AFGB 3700001000.347214 an AFGB 200399 / 3P.FA</t>
  </si>
  <si>
    <t>Ressourcenausgleich (3. Rate; Art. 5 ff. FAG)
AFGB 3700001000.347200 an AFGB 200399 / 3P.FA</t>
  </si>
  <si>
    <t>Sonderlastenausgleich Weite (3. Rate; Art. 11 ff. FAG)
AFGB 3700001000.347211 an AFGB 200399 / 3P.FA</t>
  </si>
  <si>
    <t>Sonderlastenausgleich Stadt (3. Rate; Art. 24 ff. FAG)
AFGB 3700001000.347213 an AFGB 200399 / 3P.FA</t>
  </si>
  <si>
    <t>Sonderlastenausgleich Schule (3. Rate; Art. 18 ff. FAG)
AFGB 3700001000.347212 an AFGB 200399 / 3P.FA</t>
  </si>
  <si>
    <t>Soziodemographischer Sonderlastenausgleich (3. Rate; Art. 17a ff. FAG)
AFGB 3700001000.347214 an AFGB 200399 / 3P.FA</t>
  </si>
  <si>
    <t>Ressourcenausgleich (4. Rate; Art. 5 ff. FAG)
AFGB 3700001000.347200 an AFGB 200399 / 3P.FA</t>
  </si>
  <si>
    <t>Sonderlastenausgleich Weite (4. Rate; Art. 11 ff. FAG)
AFGB 3700001000.347211 an AFGB 200399 / 3P.FA</t>
  </si>
  <si>
    <t>Sonderlastenausgleich Stadt (4. Rate; Art. 24 ff. FAG)
AFGB 3700001000.347213 an AFGB 200399 / 3P.FA</t>
  </si>
  <si>
    <t>Sonderlastenausgleich Schule (4. Rate; Art. 18 ff. FAG)
AFGB 3700001000.347212 an AFGB 200399 / 3P.FA</t>
  </si>
  <si>
    <t>Soziodemographischer Sonderlastenausgleich (4. Rate; Art. 17a ff. FAG)
AFGB 3700001000.347214 an AFGB 200399 / 3P.FA</t>
  </si>
  <si>
    <t>Korrekturen seit Inaussichtstellung der Beiträge vom 9. Dezember 2020:</t>
  </si>
  <si>
    <t>Widnau: Nettoaufwand finanzielle Sozialhilfe: Fr. 605'814.42 (alter Wert Fr. 702'996.64)</t>
  </si>
  <si>
    <t>Muolen: Nettoaufwand Familie und Jugend: Fr. 148'903.10 (alter Wert Fr. 153'873.45)</t>
  </si>
  <si>
    <t>Buchs: Nettoaufwand Funktion 21 Schule Fr. 25'642'521.57 (alter Wert Fr. 23'433'384.95)</t>
  </si>
  <si>
    <t>Zusammensetzung und Raten</t>
  </si>
  <si>
    <t>Ausgleichsgefäss</t>
  </si>
  <si>
    <t>1. Rate (15. März)</t>
  </si>
  <si>
    <t>2. Rate (15. Juni)</t>
  </si>
  <si>
    <t>3. Rate (15. Sept.)</t>
  </si>
  <si>
    <t>Finanzausgleich 2021 / definitive Beiträge</t>
  </si>
  <si>
    <t>Finanzausgleichsbeiträge 2021</t>
  </si>
  <si>
    <r>
      <t xml:space="preserve">4. Rate (15. Dez.) </t>
    </r>
    <r>
      <rPr>
        <b/>
        <sz val="10"/>
        <color rgb="FFFF0000"/>
        <rFont val="Arial"/>
        <family val="2"/>
      </rPr>
      <t>neu</t>
    </r>
  </si>
  <si>
    <t>in Aussicht gestellt</t>
  </si>
  <si>
    <t>Korrektur</t>
  </si>
  <si>
    <t>neu</t>
  </si>
  <si>
    <t>Total Finanzausgleichsbeiträge</t>
  </si>
  <si>
    <t>Übersicht der vorgenommenen Korrekturen</t>
  </si>
  <si>
    <r>
      <rPr>
        <b/>
        <sz val="10"/>
        <color theme="1"/>
        <rFont val="Arial"/>
        <family val="2"/>
      </rPr>
      <t>Total</t>
    </r>
    <r>
      <rPr>
        <b/>
        <sz val="10"/>
        <color rgb="FFFF0000"/>
        <rFont val="Arial"/>
        <family val="2"/>
      </rPr>
      <t xml:space="preserve"> neu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</si>
</sst>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#,##0.00_ ;\-#,##0.00\ "/>
    <numFmt numFmtId="165" formatCode="0.0000%"/>
    <numFmt numFmtId="166" formatCode="#,##0.0000"/>
    <numFmt numFmtId="167" formatCode="#,##0_ ;[Red]\-#,##0\ "/>
    <numFmt numFmtId="168" formatCode="#,##0.00000000"/>
    <numFmt numFmtId="169" formatCode="#,##0.000000000"/>
    <numFmt numFmtId="170" formatCode="#,##0.000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i/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</cellStyleXfs>
  <cellXfs count="238">
    <xf numFmtId="0" fontId="0" fillId="0" borderId="0" xfId="0"/>
    <xf numFmtId="4" fontId="0" fillId="0" borderId="0" xfId="1" applyNumberFormat="1" applyFont="1" applyFill="1" applyBorder="1"/>
    <xf numFmtId="43" fontId="0" fillId="0" borderId="0" xfId="1" applyFont="1" applyFill="1" applyBorder="1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ill="1" applyBorder="1"/>
    <xf numFmtId="9" fontId="0" fillId="0" borderId="0" xfId="0" applyNumberFormat="1" applyFill="1" applyBorder="1"/>
    <xf numFmtId="0" fontId="8" fillId="4" borderId="0" xfId="0" applyFont="1" applyFill="1" applyBorder="1"/>
    <xf numFmtId="43" fontId="8" fillId="4" borderId="0" xfId="1" applyFont="1" applyFill="1" applyBorder="1"/>
    <xf numFmtId="4" fontId="0" fillId="3" borderId="0" xfId="1" applyNumberFormat="1" applyFont="1" applyFill="1" applyBorder="1"/>
    <xf numFmtId="9" fontId="0" fillId="3" borderId="0" xfId="0" applyNumberFormat="1" applyFill="1" applyBorder="1"/>
    <xf numFmtId="9" fontId="0" fillId="3" borderId="0" xfId="1" applyNumberFormat="1" applyFont="1" applyFill="1" applyBorder="1"/>
    <xf numFmtId="4" fontId="0" fillId="3" borderId="0" xfId="0" applyNumberFormat="1" applyFill="1" applyBorder="1"/>
    <xf numFmtId="4" fontId="0" fillId="2" borderId="0" xfId="0" applyNumberFormat="1" applyFill="1" applyBorder="1"/>
    <xf numFmtId="4" fontId="0" fillId="2" borderId="0" xfId="1" applyNumberFormat="1" applyFont="1" applyFill="1" applyBorder="1"/>
    <xf numFmtId="4" fontId="2" fillId="0" borderId="0" xfId="0" applyNumberFormat="1" applyFont="1" applyFill="1" applyBorder="1"/>
    <xf numFmtId="4" fontId="2" fillId="2" borderId="0" xfId="0" applyNumberFormat="1" applyFont="1" applyFill="1" applyBorder="1"/>
    <xf numFmtId="4" fontId="2" fillId="2" borderId="0" xfId="1" applyNumberFormat="1" applyFont="1" applyFill="1" applyBorder="1"/>
    <xf numFmtId="0" fontId="3" fillId="0" borderId="0" xfId="0" applyFont="1" applyBorder="1"/>
    <xf numFmtId="167" fontId="0" fillId="0" borderId="0" xfId="0" applyNumberFormat="1" applyFont="1" applyFill="1" applyBorder="1"/>
    <xf numFmtId="0" fontId="0" fillId="3" borderId="0" xfId="0" applyFill="1" applyBorder="1"/>
    <xf numFmtId="0" fontId="2" fillId="0" borderId="0" xfId="0" applyFont="1" applyBorder="1"/>
    <xf numFmtId="0" fontId="7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0" xfId="0" applyFont="1" applyFill="1" applyBorder="1"/>
    <xf numFmtId="0" fontId="9" fillId="2" borderId="0" xfId="0" applyFont="1" applyFill="1" applyBorder="1"/>
    <xf numFmtId="0" fontId="2" fillId="2" borderId="0" xfId="0" applyFont="1" applyFill="1" applyBorder="1"/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0" fillId="0" borderId="0" xfId="0" applyFont="1" applyBorder="1"/>
    <xf numFmtId="4" fontId="2" fillId="0" borderId="0" xfId="0" applyNumberFormat="1" applyFont="1" applyBorder="1"/>
    <xf numFmtId="0" fontId="0" fillId="2" borderId="0" xfId="0" applyFill="1" applyBorder="1"/>
    <xf numFmtId="4" fontId="0" fillId="0" borderId="0" xfId="0" applyNumberFormat="1" applyFont="1" applyFill="1" applyBorder="1"/>
    <xf numFmtId="4" fontId="0" fillId="2" borderId="0" xfId="0" applyNumberFormat="1" applyFont="1" applyFill="1" applyBorder="1"/>
    <xf numFmtId="0" fontId="0" fillId="0" borderId="0" xfId="0" applyFill="1" applyBorder="1"/>
    <xf numFmtId="166" fontId="0" fillId="0" borderId="0" xfId="0" applyNumberFormat="1" applyFont="1" applyFill="1" applyBorder="1"/>
    <xf numFmtId="0" fontId="4" fillId="0" borderId="0" xfId="0" applyFont="1" applyFill="1" applyBorder="1"/>
    <xf numFmtId="164" fontId="0" fillId="3" borderId="0" xfId="1" applyNumberFormat="1" applyFont="1" applyFill="1" applyBorder="1"/>
    <xf numFmtId="164" fontId="2" fillId="0" borderId="0" xfId="0" applyNumberFormat="1" applyFont="1" applyBorder="1"/>
    <xf numFmtId="165" fontId="0" fillId="0" borderId="0" xfId="0" applyNumberFormat="1" applyFont="1" applyFill="1" applyBorder="1"/>
    <xf numFmtId="4" fontId="0" fillId="3" borderId="0" xfId="0" applyNumberFormat="1" applyFont="1" applyFill="1" applyBorder="1"/>
    <xf numFmtId="166" fontId="0" fillId="0" borderId="0" xfId="0" applyNumberFormat="1" applyFill="1" applyBorder="1"/>
    <xf numFmtId="4" fontId="7" fillId="4" borderId="0" xfId="0" applyNumberFormat="1" applyFont="1" applyFill="1" applyBorder="1"/>
    <xf numFmtId="4" fontId="0" fillId="0" borderId="0" xfId="0" applyNumberFormat="1" applyFont="1" applyBorder="1"/>
    <xf numFmtId="3" fontId="0" fillId="0" borderId="0" xfId="0" applyNumberFormat="1" applyFont="1" applyBorder="1"/>
    <xf numFmtId="3" fontId="0" fillId="3" borderId="0" xfId="0" applyNumberFormat="1" applyFill="1" applyBorder="1"/>
    <xf numFmtId="3" fontId="2" fillId="0" borderId="0" xfId="0" applyNumberFormat="1" applyFont="1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9" fontId="0" fillId="0" borderId="0" xfId="0" applyNumberFormat="1" applyBorder="1"/>
    <xf numFmtId="0" fontId="2" fillId="5" borderId="0" xfId="0" applyFont="1" applyFill="1" applyBorder="1"/>
    <xf numFmtId="4" fontId="2" fillId="5" borderId="0" xfId="0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0" fillId="5" borderId="0" xfId="0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2" fillId="6" borderId="0" xfId="0" applyFont="1" applyFill="1" applyBorder="1"/>
    <xf numFmtId="4" fontId="2" fillId="6" borderId="0" xfId="0" applyNumberFormat="1" applyFont="1" applyFill="1" applyBorder="1"/>
    <xf numFmtId="0" fontId="0" fillId="6" borderId="0" xfId="0" applyFont="1" applyFill="1" applyBorder="1"/>
    <xf numFmtId="168" fontId="0" fillId="0" borderId="0" xfId="0" applyNumberFormat="1" applyFill="1" applyBorder="1"/>
    <xf numFmtId="169" fontId="0" fillId="0" borderId="0" xfId="0" applyNumberFormat="1" applyFill="1" applyBorder="1"/>
    <xf numFmtId="10" fontId="0" fillId="0" borderId="0" xfId="0" applyNumberFormat="1" applyFill="1" applyBorder="1"/>
    <xf numFmtId="0" fontId="0" fillId="6" borderId="0" xfId="0" applyFill="1" applyBorder="1"/>
    <xf numFmtId="4" fontId="0" fillId="6" borderId="0" xfId="0" applyNumberFormat="1" applyFill="1" applyBorder="1"/>
    <xf numFmtId="0" fontId="7" fillId="7" borderId="0" xfId="0" applyFont="1" applyFill="1" applyBorder="1"/>
    <xf numFmtId="4" fontId="7" fillId="7" borderId="0" xfId="0" applyNumberFormat="1" applyFont="1" applyFill="1" applyBorder="1"/>
    <xf numFmtId="2" fontId="1" fillId="3" borderId="0" xfId="2" applyNumberFormat="1" applyFont="1" applyFill="1"/>
    <xf numFmtId="3" fontId="0" fillId="3" borderId="0" xfId="0" applyNumberFormat="1" applyFont="1" applyFill="1" applyBorder="1"/>
    <xf numFmtId="0" fontId="0" fillId="3" borderId="0" xfId="0" applyFont="1" applyFill="1" applyBorder="1"/>
    <xf numFmtId="4" fontId="0" fillId="0" borderId="0" xfId="0" applyNumberFormat="1" applyFont="1" applyFill="1" applyBorder="1" applyAlignment="1">
      <alignment horizontal="right"/>
    </xf>
    <xf numFmtId="170" fontId="0" fillId="3" borderId="0" xfId="0" applyNumberFormat="1" applyFill="1" applyBorder="1"/>
    <xf numFmtId="9" fontId="0" fillId="3" borderId="0" xfId="0" applyNumberFormat="1" applyFont="1" applyFill="1" applyBorder="1"/>
    <xf numFmtId="9" fontId="0" fillId="0" borderId="0" xfId="0" applyNumberFormat="1" applyFont="1" applyFill="1" applyBorder="1"/>
    <xf numFmtId="0" fontId="0" fillId="0" borderId="0" xfId="0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Fill="1"/>
    <xf numFmtId="4" fontId="0" fillId="3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64" fontId="0" fillId="0" borderId="0" xfId="1" applyNumberFormat="1" applyFont="1" applyFill="1" applyBorder="1"/>
    <xf numFmtId="164" fontId="2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0" fillId="3" borderId="0" xfId="0" applyNumberFormat="1" applyFont="1" applyFill="1" applyBorder="1" applyAlignment="1">
      <alignment horizontal="right"/>
    </xf>
    <xf numFmtId="9" fontId="0" fillId="3" borderId="0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3" fontId="0" fillId="0" borderId="0" xfId="0" applyNumberForma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" fontId="18" fillId="0" borderId="1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0" fillId="9" borderId="0" xfId="0" applyFill="1" applyBorder="1"/>
    <xf numFmtId="4" fontId="0" fillId="9" borderId="0" xfId="0" applyNumberFormat="1" applyFill="1" applyBorder="1"/>
    <xf numFmtId="0" fontId="0" fillId="10" borderId="0" xfId="0" applyFill="1" applyBorder="1"/>
    <xf numFmtId="3" fontId="0" fillId="0" borderId="0" xfId="0" applyNumberFormat="1" applyFill="1" applyBorder="1" applyAlignment="1">
      <alignment horizontal="right"/>
    </xf>
    <xf numFmtId="0" fontId="19" fillId="0" borderId="0" xfId="0" applyFont="1" applyBorder="1"/>
    <xf numFmtId="1" fontId="18" fillId="0" borderId="6" xfId="0" applyNumberFormat="1" applyFont="1" applyFill="1" applyBorder="1" applyAlignment="1">
      <alignment horizontal="center"/>
    </xf>
    <xf numFmtId="3" fontId="0" fillId="0" borderId="7" xfId="0" applyNumberFormat="1" applyFill="1" applyBorder="1"/>
    <xf numFmtId="0" fontId="0" fillId="0" borderId="9" xfId="0" applyBorder="1"/>
    <xf numFmtId="3" fontId="2" fillId="0" borderId="10" xfId="0" applyNumberFormat="1" applyFont="1" applyBorder="1"/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3" fontId="2" fillId="0" borderId="3" xfId="0" applyNumberFormat="1" applyFont="1" applyBorder="1"/>
    <xf numFmtId="0" fontId="2" fillId="0" borderId="3" xfId="0" applyFont="1" applyBorder="1" applyAlignment="1">
      <alignment vertical="top"/>
    </xf>
    <xf numFmtId="1" fontId="18" fillId="0" borderId="11" xfId="0" applyNumberFormat="1" applyFont="1" applyFill="1" applyBorder="1" applyAlignment="1">
      <alignment horizontal="center"/>
    </xf>
    <xf numFmtId="0" fontId="0" fillId="0" borderId="1" xfId="0" applyBorder="1"/>
    <xf numFmtId="3" fontId="2" fillId="0" borderId="4" xfId="0" applyNumberFormat="1" applyFont="1" applyBorder="1"/>
    <xf numFmtId="4" fontId="2" fillId="0" borderId="5" xfId="0" applyNumberFormat="1" applyFont="1" applyBorder="1"/>
    <xf numFmtId="0" fontId="0" fillId="0" borderId="6" xfId="0" applyBorder="1"/>
    <xf numFmtId="0" fontId="18" fillId="0" borderId="7" xfId="0" applyFont="1" applyFill="1" applyBorder="1" applyAlignment="1">
      <alignment wrapText="1"/>
    </xf>
    <xf numFmtId="0" fontId="2" fillId="0" borderId="13" xfId="0" applyFont="1" applyFill="1" applyBorder="1"/>
    <xf numFmtId="0" fontId="0" fillId="0" borderId="12" xfId="0" applyBorder="1"/>
    <xf numFmtId="3" fontId="2" fillId="0" borderId="13" xfId="0" applyNumberFormat="1" applyFont="1" applyBorder="1"/>
    <xf numFmtId="0" fontId="3" fillId="0" borderId="0" xfId="0" applyFont="1" applyBorder="1" applyAlignment="1">
      <alignment horizontal="left" vertical="top"/>
    </xf>
    <xf numFmtId="0" fontId="0" fillId="9" borderId="0" xfId="0" applyFill="1"/>
    <xf numFmtId="3" fontId="0" fillId="0" borderId="4" xfId="0" applyNumberFormat="1" applyFill="1" applyBorder="1"/>
    <xf numFmtId="0" fontId="0" fillId="0" borderId="13" xfId="0" applyFont="1" applyBorder="1"/>
    <xf numFmtId="0" fontId="0" fillId="0" borderId="11" xfId="0" applyFont="1" applyBorder="1"/>
    <xf numFmtId="0" fontId="0" fillId="0" borderId="12" xfId="0" applyFont="1" applyBorder="1"/>
    <xf numFmtId="0" fontId="2" fillId="0" borderId="3" xfId="0" applyFont="1" applyFill="1" applyBorder="1"/>
    <xf numFmtId="3" fontId="0" fillId="0" borderId="13" xfId="0" applyNumberFormat="1" applyFill="1" applyBorder="1"/>
    <xf numFmtId="3" fontId="2" fillId="0" borderId="13" xfId="0" applyNumberFormat="1" applyFont="1" applyFill="1" applyBorder="1"/>
    <xf numFmtId="3" fontId="2" fillId="0" borderId="11" xfId="0" applyNumberFormat="1" applyFont="1" applyFill="1" applyBorder="1"/>
    <xf numFmtId="3" fontId="2" fillId="0" borderId="12" xfId="0" applyNumberFormat="1" applyFont="1" applyFill="1" applyBorder="1"/>
    <xf numFmtId="0" fontId="18" fillId="0" borderId="12" xfId="0" applyFont="1" applyFill="1" applyBorder="1" applyAlignment="1">
      <alignment horizontal="right" wrapText="1"/>
    </xf>
    <xf numFmtId="0" fontId="18" fillId="0" borderId="7" xfId="0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right" wrapText="1"/>
    </xf>
    <xf numFmtId="0" fontId="2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43" fontId="18" fillId="0" borderId="0" xfId="1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43" fontId="12" fillId="0" borderId="0" xfId="1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4" xfId="0" applyBorder="1"/>
    <xf numFmtId="4" fontId="0" fillId="0" borderId="0" xfId="0" applyNumberFormat="1"/>
    <xf numFmtId="4" fontId="0" fillId="0" borderId="4" xfId="0" applyNumberFormat="1" applyBorder="1"/>
    <xf numFmtId="4" fontId="2" fillId="0" borderId="0" xfId="0" applyNumberFormat="1" applyFont="1"/>
    <xf numFmtId="0" fontId="8" fillId="0" borderId="0" xfId="0" applyFont="1"/>
    <xf numFmtId="0" fontId="2" fillId="10" borderId="0" xfId="0" applyFont="1" applyFill="1" applyBorder="1" applyAlignment="1">
      <alignment vertical="center"/>
    </xf>
    <xf numFmtId="0" fontId="2" fillId="14" borderId="0" xfId="0" applyFont="1" applyFill="1" applyBorder="1"/>
    <xf numFmtId="4" fontId="2" fillId="14" borderId="0" xfId="0" applyNumberFormat="1" applyFont="1" applyFill="1" applyBorder="1"/>
    <xf numFmtId="0" fontId="18" fillId="0" borderId="6" xfId="0" applyFont="1" applyFill="1" applyBorder="1" applyAlignment="1">
      <alignment horizontal="right" wrapText="1"/>
    </xf>
    <xf numFmtId="1" fontId="0" fillId="0" borderId="0" xfId="0" quotePrefix="1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2" fillId="10" borderId="0" xfId="0" applyFont="1" applyFill="1" applyBorder="1"/>
    <xf numFmtId="14" fontId="0" fillId="10" borderId="0" xfId="0" applyNumberFormat="1" applyFill="1" applyBorder="1" applyAlignment="1">
      <alignment horizontal="center"/>
    </xf>
    <xf numFmtId="0" fontId="2" fillId="10" borderId="0" xfId="0" applyFont="1" applyFill="1" applyBorder="1" applyAlignment="1">
      <alignment vertical="top"/>
    </xf>
    <xf numFmtId="0" fontId="0" fillId="0" borderId="2" xfId="0" applyFont="1" applyBorder="1" applyAlignment="1">
      <alignment vertical="center"/>
    </xf>
    <xf numFmtId="0" fontId="12" fillId="5" borderId="6" xfId="0" applyFont="1" applyFill="1" applyBorder="1" applyAlignment="1" applyProtection="1">
      <alignment vertical="center"/>
      <protection hidden="1"/>
    </xf>
    <xf numFmtId="0" fontId="12" fillId="5" borderId="7" xfId="0" applyFont="1" applyFill="1" applyBorder="1" applyAlignment="1" applyProtection="1">
      <alignment vertical="center"/>
      <protection hidden="1"/>
    </xf>
    <xf numFmtId="4" fontId="12" fillId="5" borderId="7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0" fillId="0" borderId="10" xfId="0" applyFill="1" applyBorder="1" applyProtection="1">
      <protection hidden="1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15" xfId="0" applyFont="1" applyFill="1" applyBorder="1" applyProtection="1">
      <protection hidden="1"/>
    </xf>
    <xf numFmtId="0" fontId="21" fillId="0" borderId="14" xfId="3" applyFont="1" applyBorder="1" applyAlignment="1" applyProtection="1">
      <alignment horizontal="right" vertical="center"/>
      <protection locked="0"/>
    </xf>
    <xf numFmtId="0" fontId="12" fillId="5" borderId="8" xfId="0" applyFont="1" applyFill="1" applyBorder="1" applyAlignment="1" applyProtection="1">
      <alignment vertical="center"/>
      <protection hidden="1"/>
    </xf>
    <xf numFmtId="0" fontId="16" fillId="0" borderId="2" xfId="3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 hidden="1"/>
    </xf>
    <xf numFmtId="0" fontId="21" fillId="0" borderId="15" xfId="3" applyFont="1" applyBorder="1" applyAlignment="1" applyProtection="1">
      <alignment horizontal="right" vertical="center"/>
      <protection locked="0"/>
    </xf>
    <xf numFmtId="43" fontId="0" fillId="0" borderId="10" xfId="0" applyNumberFormat="1" applyFill="1" applyBorder="1" applyAlignment="1" applyProtection="1">
      <alignment vertical="center"/>
      <protection hidden="1"/>
    </xf>
    <xf numFmtId="0" fontId="16" fillId="0" borderId="9" xfId="3" applyBorder="1" applyAlignment="1">
      <alignment horizontal="left" vertical="center"/>
    </xf>
    <xf numFmtId="43" fontId="2" fillId="5" borderId="10" xfId="0" applyNumberFormat="1" applyFont="1" applyFill="1" applyBorder="1" applyAlignment="1" applyProtection="1">
      <alignment vertical="center"/>
      <protection hidden="1"/>
    </xf>
    <xf numFmtId="0" fontId="2" fillId="5" borderId="6" xfId="0" applyFont="1" applyFill="1" applyBorder="1" applyAlignment="1">
      <alignment vertical="center"/>
    </xf>
    <xf numFmtId="3" fontId="0" fillId="15" borderId="4" xfId="0" applyNumberFormat="1" applyFill="1" applyBorder="1"/>
    <xf numFmtId="3" fontId="0" fillId="15" borderId="13" xfId="0" applyNumberFormat="1" applyFill="1" applyBorder="1"/>
    <xf numFmtId="3" fontId="0" fillId="15" borderId="0" xfId="0" applyNumberFormat="1" applyFill="1" applyBorder="1"/>
    <xf numFmtId="3" fontId="0" fillId="15" borderId="11" xfId="0" applyNumberFormat="1" applyFill="1" applyBorder="1"/>
    <xf numFmtId="3" fontId="0" fillId="15" borderId="7" xfId="0" applyNumberFormat="1" applyFill="1" applyBorder="1"/>
    <xf numFmtId="3" fontId="0" fillId="15" borderId="12" xfId="0" applyNumberFormat="1" applyFill="1" applyBorder="1"/>
    <xf numFmtId="4" fontId="0" fillId="0" borderId="10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2" fillId="5" borderId="7" xfId="0" applyNumberFormat="1" applyFont="1" applyFill="1" applyBorder="1" applyAlignment="1">
      <alignment vertical="center"/>
    </xf>
    <xf numFmtId="4" fontId="2" fillId="5" borderId="6" xfId="0" applyNumberFormat="1" applyFont="1" applyFill="1" applyBorder="1" applyAlignment="1">
      <alignment vertical="center"/>
    </xf>
    <xf numFmtId="4" fontId="2" fillId="5" borderId="9" xfId="0" applyNumberFormat="1" applyFont="1" applyFill="1" applyBorder="1" applyAlignment="1">
      <alignment vertical="center"/>
    </xf>
    <xf numFmtId="0" fontId="3" fillId="15" borderId="0" xfId="0" applyFont="1" applyFill="1" applyBorder="1"/>
    <xf numFmtId="0" fontId="0" fillId="15" borderId="0" xfId="0" applyFill="1" applyBorder="1"/>
    <xf numFmtId="4" fontId="0" fillId="15" borderId="0" xfId="0" applyNumberFormat="1" applyFill="1" applyBorder="1"/>
    <xf numFmtId="0" fontId="2" fillId="15" borderId="9" xfId="0" applyFont="1" applyFill="1" applyBorder="1" applyAlignment="1">
      <alignment vertical="top"/>
    </xf>
    <xf numFmtId="0" fontId="2" fillId="15" borderId="3" xfId="0" applyFont="1" applyFill="1" applyBorder="1" applyAlignment="1">
      <alignment vertical="top"/>
    </xf>
    <xf numFmtId="4" fontId="2" fillId="15" borderId="10" xfId="0" applyNumberFormat="1" applyFont="1" applyFill="1" applyBorder="1" applyAlignment="1">
      <alignment horizontal="right" vertical="top" wrapText="1"/>
    </xf>
    <xf numFmtId="4" fontId="2" fillId="15" borderId="3" xfId="0" applyNumberFormat="1" applyFont="1" applyFill="1" applyBorder="1" applyAlignment="1">
      <alignment horizontal="right" vertical="top" wrapText="1"/>
    </xf>
    <xf numFmtId="3" fontId="0" fillId="15" borderId="1" xfId="0" applyNumberFormat="1" applyFill="1" applyBorder="1"/>
    <xf numFmtId="4" fontId="0" fillId="15" borderId="13" xfId="0" applyNumberFormat="1" applyFill="1" applyBorder="1"/>
    <xf numFmtId="3" fontId="2" fillId="15" borderId="13" xfId="0" applyNumberFormat="1" applyFont="1" applyFill="1" applyBorder="1"/>
    <xf numFmtId="3" fontId="0" fillId="15" borderId="2" xfId="0" applyNumberFormat="1" applyFill="1" applyBorder="1"/>
    <xf numFmtId="4" fontId="0" fillId="15" borderId="11" xfId="0" applyNumberFormat="1" applyFill="1" applyBorder="1"/>
    <xf numFmtId="3" fontId="2" fillId="15" borderId="11" xfId="0" applyNumberFormat="1" applyFont="1" applyFill="1" applyBorder="1"/>
    <xf numFmtId="0" fontId="0" fillId="15" borderId="2" xfId="0" applyFill="1" applyBorder="1"/>
    <xf numFmtId="0" fontId="0" fillId="15" borderId="11" xfId="0" applyFill="1" applyBorder="1"/>
    <xf numFmtId="3" fontId="2" fillId="15" borderId="9" xfId="0" applyNumberFormat="1" applyFont="1" applyFill="1" applyBorder="1"/>
    <xf numFmtId="3" fontId="2" fillId="15" borderId="3" xfId="0" applyNumberFormat="1" applyFont="1" applyFill="1" applyBorder="1"/>
    <xf numFmtId="3" fontId="2" fillId="15" borderId="10" xfId="0" applyNumberFormat="1" applyFont="1" applyFill="1" applyBorder="1"/>
    <xf numFmtId="0" fontId="14" fillId="0" borderId="10" xfId="0" applyFont="1" applyBorder="1" applyAlignment="1">
      <alignment horizontal="right" vertical="center"/>
    </xf>
    <xf numFmtId="0" fontId="7" fillId="0" borderId="0" xfId="0" applyFont="1" applyProtection="1">
      <protection hidden="1"/>
    </xf>
    <xf numFmtId="43" fontId="0" fillId="0" borderId="15" xfId="0" applyNumberFormat="1" applyFill="1" applyBorder="1" applyAlignment="1" applyProtection="1">
      <alignment vertical="center"/>
      <protection hidden="1"/>
    </xf>
    <xf numFmtId="43" fontId="2" fillId="5" borderId="15" xfId="0" applyNumberFormat="1" applyFont="1" applyFill="1" applyBorder="1" applyAlignment="1" applyProtection="1">
      <alignment vertical="center"/>
      <protection hidden="1"/>
    </xf>
    <xf numFmtId="0" fontId="14" fillId="0" borderId="15" xfId="0" applyFont="1" applyBorder="1" applyAlignment="1">
      <alignment horizontal="right" vertical="center"/>
    </xf>
    <xf numFmtId="0" fontId="8" fillId="11" borderId="0" xfId="0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0" fillId="11" borderId="0" xfId="0" applyFill="1" applyAlignment="1">
      <alignment wrapText="1"/>
    </xf>
    <xf numFmtId="0" fontId="8" fillId="12" borderId="0" xfId="0" applyFont="1" applyFill="1" applyAlignment="1">
      <alignment vertical="top" wrapText="1"/>
    </xf>
    <xf numFmtId="0" fontId="0" fillId="12" borderId="0" xfId="0" applyFill="1" applyAlignment="1">
      <alignment vertical="top" wrapText="1"/>
    </xf>
    <xf numFmtId="0" fontId="8" fillId="13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3" fillId="8" borderId="0" xfId="0" applyFont="1" applyFill="1" applyBorder="1" applyAlignment="1" applyProtection="1">
      <alignment vertical="center"/>
      <protection locked="0" hidden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</cellXfs>
  <cellStyles count="4">
    <cellStyle name="Komma" xfId="1" builtinId="3"/>
    <cellStyle name="Link" xfId="3" builtinId="8"/>
    <cellStyle name="Standard" xfId="0" builtinId="0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47625</xdr:rowOff>
    </xdr:from>
    <xdr:to>
      <xdr:col>7</xdr:col>
      <xdr:colOff>591185</xdr:colOff>
      <xdr:row>3</xdr:row>
      <xdr:rowOff>151130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7825" y="47625"/>
          <a:ext cx="467360" cy="5892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351693</xdr:colOff>
      <xdr:row>0</xdr:row>
      <xdr:rowOff>64476</xdr:rowOff>
    </xdr:from>
    <xdr:to>
      <xdr:col>4</xdr:col>
      <xdr:colOff>819053</xdr:colOff>
      <xdr:row>4</xdr:row>
      <xdr:rowOff>6789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1116" y="64476"/>
          <a:ext cx="467360" cy="587082"/>
        </a:xfrm>
        <a:prstGeom prst="rect">
          <a:avLst/>
        </a:prstGeom>
      </xdr:spPr>
    </xdr:pic>
    <xdr:clientData/>
  </xdr:twoCellAnchor>
  <xdr:oneCellAnchor>
    <xdr:from>
      <xdr:col>10</xdr:col>
      <xdr:colOff>351693</xdr:colOff>
      <xdr:row>0</xdr:row>
      <xdr:rowOff>64476</xdr:rowOff>
    </xdr:from>
    <xdr:ext cx="467360" cy="587082"/>
    <xdr:pic>
      <xdr:nvPicPr>
        <xdr:cNvPr id="6" name="Grafik 5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1116" y="64476"/>
          <a:ext cx="467360" cy="587082"/>
        </a:xfrm>
        <a:prstGeom prst="rect">
          <a:avLst/>
        </a:prstGeom>
      </xdr:spPr>
    </xdr:pic>
    <xdr:clientData/>
  </xdr:oneCellAnchor>
  <xdr:oneCellAnchor>
    <xdr:from>
      <xdr:col>16</xdr:col>
      <xdr:colOff>351693</xdr:colOff>
      <xdr:row>0</xdr:row>
      <xdr:rowOff>64476</xdr:rowOff>
    </xdr:from>
    <xdr:ext cx="467360" cy="587082"/>
    <xdr:pic>
      <xdr:nvPicPr>
        <xdr:cNvPr id="7" name="Grafik 6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9481" y="64476"/>
          <a:ext cx="467360" cy="587082"/>
        </a:xfrm>
        <a:prstGeom prst="rect">
          <a:avLst/>
        </a:prstGeom>
      </xdr:spPr>
    </xdr:pic>
    <xdr:clientData/>
  </xdr:oneCellAnchor>
  <xdr:oneCellAnchor>
    <xdr:from>
      <xdr:col>22</xdr:col>
      <xdr:colOff>351693</xdr:colOff>
      <xdr:row>0</xdr:row>
      <xdr:rowOff>64476</xdr:rowOff>
    </xdr:from>
    <xdr:ext cx="467360" cy="587082"/>
    <xdr:pic>
      <xdr:nvPicPr>
        <xdr:cNvPr id="8" name="Grafik 7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77847" y="64476"/>
          <a:ext cx="467360" cy="587082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571500</xdr:colOff>
      <xdr:row>0</xdr:row>
      <xdr:rowOff>57150</xdr:rowOff>
    </xdr:from>
    <xdr:to>
      <xdr:col>12</xdr:col>
      <xdr:colOff>1038860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21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38100</xdr:rowOff>
    </xdr:from>
    <xdr:to>
      <xdr:col>4</xdr:col>
      <xdr:colOff>638810</xdr:colOff>
      <xdr:row>3</xdr:row>
      <xdr:rowOff>141605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38100"/>
          <a:ext cx="467360" cy="5892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1531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1531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1606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1606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1606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460131</xdr:colOff>
      <xdr:row>0</xdr:row>
      <xdr:rowOff>62278</xdr:rowOff>
    </xdr:from>
    <xdr:to>
      <xdr:col>7</xdr:col>
      <xdr:colOff>927491</xdr:colOff>
      <xdr:row>4</xdr:row>
      <xdr:rowOff>4591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460131</xdr:colOff>
      <xdr:row>0</xdr:row>
      <xdr:rowOff>62278</xdr:rowOff>
    </xdr:from>
    <xdr:to>
      <xdr:col>7</xdr:col>
      <xdr:colOff>927491</xdr:colOff>
      <xdr:row>4</xdr:row>
      <xdr:rowOff>4591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twoCellAnchor>
  <xdr:oneCellAnchor>
    <xdr:from>
      <xdr:col>16</xdr:col>
      <xdr:colOff>460131</xdr:colOff>
      <xdr:row>0</xdr:row>
      <xdr:rowOff>62278</xdr:rowOff>
    </xdr:from>
    <xdr:ext cx="467360" cy="590013"/>
    <xdr:pic>
      <xdr:nvPicPr>
        <xdr:cNvPr id="3" name="Grafik 2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oneCellAnchor>
  <xdr:oneCellAnchor>
    <xdr:from>
      <xdr:col>25</xdr:col>
      <xdr:colOff>460131</xdr:colOff>
      <xdr:row>0</xdr:row>
      <xdr:rowOff>62278</xdr:rowOff>
    </xdr:from>
    <xdr:ext cx="467360" cy="590013"/>
    <xdr:pic>
      <xdr:nvPicPr>
        <xdr:cNvPr id="4" name="Grafik 3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oneCellAnchor>
  <xdr:oneCellAnchor>
    <xdr:from>
      <xdr:col>34</xdr:col>
      <xdr:colOff>460131</xdr:colOff>
      <xdr:row>0</xdr:row>
      <xdr:rowOff>62278</xdr:rowOff>
    </xdr:from>
    <xdr:ext cx="467360" cy="590013"/>
    <xdr:pic>
      <xdr:nvPicPr>
        <xdr:cNvPr id="5" name="Grafik 4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21981</xdr:colOff>
      <xdr:row>0</xdr:row>
      <xdr:rowOff>71803</xdr:rowOff>
    </xdr:from>
    <xdr:to>
      <xdr:col>6</xdr:col>
      <xdr:colOff>489341</xdr:colOff>
      <xdr:row>4</xdr:row>
      <xdr:rowOff>14116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71803"/>
          <a:ext cx="467360" cy="587082"/>
        </a:xfrm>
        <a:prstGeom prst="rect">
          <a:avLst/>
        </a:prstGeom>
      </xdr:spPr>
    </xdr:pic>
    <xdr:clientData/>
  </xdr:twoCellAnchor>
  <xdr:oneCellAnchor>
    <xdr:from>
      <xdr:col>14</xdr:col>
      <xdr:colOff>21981</xdr:colOff>
      <xdr:row>0</xdr:row>
      <xdr:rowOff>71803</xdr:rowOff>
    </xdr:from>
    <xdr:ext cx="467360" cy="587082"/>
    <xdr:pic>
      <xdr:nvPicPr>
        <xdr:cNvPr id="3" name="Grafik 2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71803"/>
          <a:ext cx="467360" cy="587082"/>
        </a:xfrm>
        <a:prstGeom prst="rect">
          <a:avLst/>
        </a:prstGeom>
      </xdr:spPr>
    </xdr:pic>
    <xdr:clientData/>
  </xdr:oneCellAnchor>
  <xdr:oneCellAnchor>
    <xdr:from>
      <xdr:col>22</xdr:col>
      <xdr:colOff>21981</xdr:colOff>
      <xdr:row>0</xdr:row>
      <xdr:rowOff>71803</xdr:rowOff>
    </xdr:from>
    <xdr:ext cx="467360" cy="587082"/>
    <xdr:pic>
      <xdr:nvPicPr>
        <xdr:cNvPr id="4" name="Grafik 3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03269" y="71803"/>
          <a:ext cx="467360" cy="587082"/>
        </a:xfrm>
        <a:prstGeom prst="rect">
          <a:avLst/>
        </a:prstGeom>
      </xdr:spPr>
    </xdr:pic>
    <xdr:clientData/>
  </xdr:oneCellAnchor>
  <xdr:oneCellAnchor>
    <xdr:from>
      <xdr:col>30</xdr:col>
      <xdr:colOff>21981</xdr:colOff>
      <xdr:row>0</xdr:row>
      <xdr:rowOff>71803</xdr:rowOff>
    </xdr:from>
    <xdr:ext cx="467360" cy="587082"/>
    <xdr:pic>
      <xdr:nvPicPr>
        <xdr:cNvPr id="5" name="Grafik 4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03269" y="71803"/>
          <a:ext cx="467360" cy="5870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0"/>
  <sheetViews>
    <sheetView workbookViewId="0"/>
  </sheetViews>
  <sheetFormatPr baseColWidth="10" defaultRowHeight="12.75" x14ac:dyDescent="0.2"/>
  <sheetData>
    <row r="1" spans="1:8" x14ac:dyDescent="0.2">
      <c r="A1" s="83" t="s">
        <v>217</v>
      </c>
    </row>
    <row r="2" spans="1:8" x14ac:dyDescent="0.2">
      <c r="A2" t="s">
        <v>218</v>
      </c>
    </row>
    <row r="5" spans="1:8" ht="26.25" x14ac:dyDescent="0.2">
      <c r="A5" s="94" t="s">
        <v>269</v>
      </c>
      <c r="B5" s="80"/>
      <c r="C5" s="79"/>
      <c r="D5" s="78"/>
    </row>
    <row r="7" spans="1:8" ht="15" x14ac:dyDescent="0.2">
      <c r="A7" s="157" t="s">
        <v>270</v>
      </c>
    </row>
    <row r="9" spans="1:8" x14ac:dyDescent="0.2">
      <c r="A9" s="223" t="s">
        <v>271</v>
      </c>
      <c r="B9" s="224"/>
      <c r="C9" s="224"/>
      <c r="D9" s="224"/>
      <c r="E9" s="224"/>
      <c r="F9" s="224"/>
      <c r="G9" s="224"/>
      <c r="H9" s="224"/>
    </row>
    <row r="10" spans="1:8" x14ac:dyDescent="0.2">
      <c r="A10" s="224"/>
      <c r="B10" s="224"/>
      <c r="C10" s="224"/>
      <c r="D10" s="224"/>
      <c r="E10" s="224"/>
      <c r="F10" s="224"/>
      <c r="G10" s="224"/>
      <c r="H10" s="224"/>
    </row>
    <row r="11" spans="1:8" x14ac:dyDescent="0.2">
      <c r="A11" s="225"/>
      <c r="B11" s="225"/>
      <c r="C11" s="225"/>
      <c r="D11" s="225"/>
      <c r="E11" s="225"/>
      <c r="F11" s="225"/>
      <c r="G11" s="225"/>
      <c r="H11" s="225"/>
    </row>
    <row r="13" spans="1:8" x14ac:dyDescent="0.2">
      <c r="A13" s="226" t="s">
        <v>272</v>
      </c>
      <c r="B13" s="227"/>
      <c r="C13" s="227"/>
      <c r="D13" s="227"/>
      <c r="E13" s="227"/>
      <c r="F13" s="227"/>
      <c r="G13" s="227"/>
      <c r="H13" s="227"/>
    </row>
    <row r="14" spans="1:8" x14ac:dyDescent="0.2">
      <c r="A14" s="227"/>
      <c r="B14" s="227"/>
      <c r="C14" s="227"/>
      <c r="D14" s="227"/>
      <c r="E14" s="227"/>
      <c r="F14" s="227"/>
      <c r="G14" s="227"/>
      <c r="H14" s="227"/>
    </row>
    <row r="15" spans="1:8" x14ac:dyDescent="0.2">
      <c r="A15" s="227"/>
      <c r="B15" s="227"/>
      <c r="C15" s="227"/>
      <c r="D15" s="227"/>
      <c r="E15" s="227"/>
      <c r="F15" s="227"/>
      <c r="G15" s="227"/>
      <c r="H15" s="227"/>
    </row>
    <row r="17" spans="1:8" x14ac:dyDescent="0.2">
      <c r="A17" s="228" t="s">
        <v>273</v>
      </c>
      <c r="B17" s="228"/>
      <c r="C17" s="228"/>
      <c r="D17" s="228"/>
      <c r="E17" s="228"/>
      <c r="F17" s="228"/>
      <c r="G17" s="228"/>
      <c r="H17" s="228"/>
    </row>
    <row r="18" spans="1:8" x14ac:dyDescent="0.2">
      <c r="A18" s="228"/>
      <c r="B18" s="228"/>
      <c r="C18" s="228"/>
      <c r="D18" s="228"/>
      <c r="E18" s="228"/>
      <c r="F18" s="228"/>
      <c r="G18" s="228"/>
      <c r="H18" s="228"/>
    </row>
    <row r="19" spans="1:8" x14ac:dyDescent="0.2">
      <c r="A19" s="228"/>
      <c r="B19" s="228"/>
      <c r="C19" s="228"/>
      <c r="D19" s="228"/>
      <c r="E19" s="228"/>
      <c r="F19" s="228"/>
      <c r="G19" s="228"/>
      <c r="H19" s="228"/>
    </row>
    <row r="20" spans="1:8" x14ac:dyDescent="0.2">
      <c r="A20" s="229"/>
      <c r="B20" s="229"/>
      <c r="C20" s="229"/>
      <c r="D20" s="229"/>
      <c r="E20" s="229"/>
      <c r="F20" s="229"/>
      <c r="G20" s="229"/>
      <c r="H20" s="229"/>
    </row>
  </sheetData>
  <mergeCells count="3">
    <mergeCell ref="A9:H11"/>
    <mergeCell ref="A13:H15"/>
    <mergeCell ref="A17:H20"/>
  </mergeCells>
  <pageMargins left="0.51181102362204722" right="0.51181102362204722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3"/>
  <sheetViews>
    <sheetView zoomScale="130" zoomScaleNormal="130" workbookViewId="0"/>
  </sheetViews>
  <sheetFormatPr baseColWidth="10" defaultRowHeight="12.75" x14ac:dyDescent="0.2"/>
  <cols>
    <col min="1" max="1" width="20.5703125" bestFit="1" customWidth="1"/>
    <col min="3" max="3" width="29.42578125" customWidth="1"/>
    <col min="4" max="4" width="5.5703125" customWidth="1"/>
    <col min="5" max="5" width="13.85546875" customWidth="1"/>
    <col min="6" max="6" width="4.28515625" customWidth="1"/>
    <col min="7" max="7" width="20.5703125" bestFit="1" customWidth="1"/>
    <col min="9" max="9" width="29.42578125" customWidth="1"/>
    <col min="10" max="10" width="5.5703125" customWidth="1"/>
    <col min="11" max="11" width="13.85546875" customWidth="1"/>
    <col min="12" max="12" width="4.28515625" customWidth="1"/>
    <col min="13" max="13" width="20.5703125" bestFit="1" customWidth="1"/>
    <col min="15" max="15" width="29.42578125" customWidth="1"/>
    <col min="16" max="16" width="5.5703125" customWidth="1"/>
    <col min="17" max="17" width="13.85546875" customWidth="1"/>
    <col min="18" max="18" width="4.28515625" customWidth="1"/>
    <col min="19" max="19" width="20.5703125" bestFit="1" customWidth="1"/>
    <col min="21" max="21" width="29.42578125" customWidth="1"/>
    <col min="22" max="22" width="5.5703125" customWidth="1"/>
    <col min="23" max="23" width="13.85546875" customWidth="1"/>
  </cols>
  <sheetData>
    <row r="1" spans="1:23" x14ac:dyDescent="0.2">
      <c r="A1" s="83" t="s">
        <v>217</v>
      </c>
      <c r="F1" s="130"/>
      <c r="G1" s="83" t="s">
        <v>217</v>
      </c>
      <c r="L1" s="130"/>
      <c r="M1" s="83" t="s">
        <v>217</v>
      </c>
      <c r="R1" s="130"/>
      <c r="S1" s="83" t="s">
        <v>217</v>
      </c>
    </row>
    <row r="2" spans="1:23" x14ac:dyDescent="0.2">
      <c r="A2" t="s">
        <v>218</v>
      </c>
      <c r="F2" s="130"/>
      <c r="G2" t="s">
        <v>218</v>
      </c>
      <c r="L2" s="130"/>
      <c r="M2" t="s">
        <v>218</v>
      </c>
      <c r="R2" s="130"/>
      <c r="S2" t="s">
        <v>218</v>
      </c>
    </row>
    <row r="3" spans="1:23" x14ac:dyDescent="0.2">
      <c r="F3" s="130"/>
      <c r="L3" s="130"/>
      <c r="R3" s="130"/>
    </row>
    <row r="4" spans="1:23" x14ac:dyDescent="0.2">
      <c r="F4" s="130"/>
      <c r="L4" s="130"/>
      <c r="R4" s="130"/>
    </row>
    <row r="5" spans="1:23" ht="26.25" x14ac:dyDescent="0.2">
      <c r="A5" s="129" t="s">
        <v>250</v>
      </c>
      <c r="B5" s="3"/>
      <c r="C5" s="3"/>
      <c r="D5" s="3"/>
      <c r="F5" s="130"/>
      <c r="G5" s="129" t="s">
        <v>250</v>
      </c>
      <c r="H5" s="3"/>
      <c r="I5" s="3"/>
      <c r="J5" s="3"/>
      <c r="L5" s="130"/>
      <c r="M5" s="129" t="s">
        <v>250</v>
      </c>
      <c r="N5" s="3"/>
      <c r="O5" s="3"/>
      <c r="P5" s="3"/>
      <c r="R5" s="130"/>
      <c r="S5" s="129" t="s">
        <v>250</v>
      </c>
      <c r="T5" s="3"/>
      <c r="U5" s="3"/>
      <c r="V5" s="3"/>
    </row>
    <row r="6" spans="1:23" ht="18" x14ac:dyDescent="0.25">
      <c r="A6" s="106" t="s">
        <v>259</v>
      </c>
      <c r="B6" s="3"/>
      <c r="C6" s="3"/>
      <c r="D6" s="3"/>
      <c r="F6" s="130"/>
      <c r="G6" s="106" t="s">
        <v>259</v>
      </c>
      <c r="H6" s="3"/>
      <c r="I6" s="3"/>
      <c r="J6" s="3"/>
      <c r="L6" s="130"/>
      <c r="M6" s="106" t="s">
        <v>259</v>
      </c>
      <c r="N6" s="3"/>
      <c r="O6" s="3"/>
      <c r="P6" s="3"/>
      <c r="R6" s="130"/>
      <c r="S6" s="106" t="s">
        <v>259</v>
      </c>
      <c r="T6" s="3"/>
      <c r="U6" s="3"/>
      <c r="V6" s="3"/>
    </row>
    <row r="7" spans="1:23" ht="12.75" customHeight="1" x14ac:dyDescent="0.2">
      <c r="A7" s="3"/>
      <c r="B7" s="3"/>
      <c r="C7" s="3"/>
      <c r="D7" s="3"/>
      <c r="F7" s="130"/>
      <c r="G7" s="3"/>
      <c r="H7" s="3"/>
      <c r="I7" s="3"/>
      <c r="J7" s="3"/>
      <c r="L7" s="130"/>
      <c r="M7" s="3"/>
      <c r="N7" s="3"/>
      <c r="O7" s="3"/>
      <c r="P7" s="3"/>
      <c r="R7" s="130"/>
      <c r="S7" s="3"/>
      <c r="T7" s="3"/>
      <c r="U7" s="3"/>
      <c r="V7" s="3"/>
    </row>
    <row r="8" spans="1:23" ht="12.75" customHeight="1" x14ac:dyDescent="0.2">
      <c r="A8" s="232" t="s">
        <v>260</v>
      </c>
      <c r="B8" s="232"/>
      <c r="C8" s="232"/>
      <c r="D8" s="229"/>
      <c r="E8" s="229"/>
      <c r="F8" s="130"/>
      <c r="G8" s="232" t="s">
        <v>263</v>
      </c>
      <c r="H8" s="232"/>
      <c r="I8" s="232"/>
      <c r="J8" s="229"/>
      <c r="K8" s="229"/>
      <c r="L8" s="130"/>
      <c r="M8" s="232" t="s">
        <v>265</v>
      </c>
      <c r="N8" s="232"/>
      <c r="O8" s="232"/>
      <c r="P8" s="229"/>
      <c r="Q8" s="229"/>
      <c r="R8" s="130"/>
      <c r="S8" s="232" t="s">
        <v>266</v>
      </c>
      <c r="T8" s="232"/>
      <c r="U8" s="232"/>
      <c r="V8" s="229"/>
      <c r="W8" s="229"/>
    </row>
    <row r="9" spans="1:23" ht="12.75" customHeight="1" x14ac:dyDescent="0.2">
      <c r="A9" s="229"/>
      <c r="B9" s="229"/>
      <c r="C9" s="229"/>
      <c r="D9" s="229"/>
      <c r="E9" s="229"/>
      <c r="F9" s="130"/>
      <c r="G9" s="229"/>
      <c r="H9" s="229"/>
      <c r="I9" s="229"/>
      <c r="J9" s="229"/>
      <c r="K9" s="229"/>
      <c r="L9" s="130"/>
      <c r="M9" s="229"/>
      <c r="N9" s="229"/>
      <c r="O9" s="229"/>
      <c r="P9" s="229"/>
      <c r="Q9" s="229"/>
      <c r="R9" s="130"/>
      <c r="S9" s="229"/>
      <c r="T9" s="229"/>
      <c r="U9" s="229"/>
      <c r="V9" s="229"/>
      <c r="W9" s="229"/>
    </row>
    <row r="10" spans="1:23" ht="12.75" customHeight="1" x14ac:dyDescent="0.2">
      <c r="A10" s="229"/>
      <c r="B10" s="229"/>
      <c r="C10" s="229"/>
      <c r="D10" s="229"/>
      <c r="E10" s="229"/>
      <c r="F10" s="130"/>
      <c r="G10" s="229"/>
      <c r="H10" s="229"/>
      <c r="I10" s="229"/>
      <c r="J10" s="229"/>
      <c r="K10" s="229"/>
      <c r="L10" s="130"/>
      <c r="M10" s="229"/>
      <c r="N10" s="229"/>
      <c r="O10" s="229"/>
      <c r="P10" s="229"/>
      <c r="Q10" s="229"/>
      <c r="R10" s="130"/>
      <c r="S10" s="229"/>
      <c r="T10" s="229"/>
      <c r="U10" s="229"/>
      <c r="V10" s="229"/>
      <c r="W10" s="229"/>
    </row>
    <row r="11" spans="1:23" ht="12.75" customHeight="1" x14ac:dyDescent="0.25">
      <c r="A11" s="145"/>
      <c r="B11" s="145"/>
      <c r="C11" s="145"/>
      <c r="D11" s="3"/>
      <c r="F11" s="130"/>
      <c r="G11" s="145"/>
      <c r="H11" s="145"/>
      <c r="I11" s="145"/>
      <c r="J11" s="3"/>
      <c r="L11" s="130"/>
      <c r="M11" s="145"/>
      <c r="N11" s="145"/>
      <c r="O11" s="145"/>
      <c r="P11" s="3"/>
      <c r="R11" s="130"/>
      <c r="S11" s="145"/>
      <c r="T11" s="145"/>
      <c r="U11" s="145"/>
      <c r="V11" s="3"/>
    </row>
    <row r="12" spans="1:23" ht="12.75" customHeight="1" x14ac:dyDescent="0.2">
      <c r="A12" s="233" t="s">
        <v>261</v>
      </c>
      <c r="B12" s="233"/>
      <c r="C12" s="233"/>
      <c r="D12" s="234"/>
      <c r="E12" s="234"/>
      <c r="F12" s="130"/>
      <c r="G12" s="233" t="s">
        <v>264</v>
      </c>
      <c r="H12" s="233"/>
      <c r="I12" s="233"/>
      <c r="J12" s="234"/>
      <c r="K12" s="234"/>
      <c r="L12" s="130"/>
      <c r="M12" s="233" t="s">
        <v>267</v>
      </c>
      <c r="N12" s="233"/>
      <c r="O12" s="233"/>
      <c r="P12" s="234"/>
      <c r="Q12" s="234"/>
      <c r="R12" s="130"/>
      <c r="S12" s="233" t="s">
        <v>268</v>
      </c>
      <c r="T12" s="233"/>
      <c r="U12" s="233"/>
      <c r="V12" s="234"/>
      <c r="W12" s="234"/>
    </row>
    <row r="13" spans="1:23" ht="12.75" customHeight="1" x14ac:dyDescent="0.2">
      <c r="A13" s="234"/>
      <c r="B13" s="234"/>
      <c r="C13" s="234"/>
      <c r="D13" s="234"/>
      <c r="E13" s="234"/>
      <c r="F13" s="130"/>
      <c r="G13" s="234"/>
      <c r="H13" s="234"/>
      <c r="I13" s="234"/>
      <c r="J13" s="234"/>
      <c r="K13" s="234"/>
      <c r="L13" s="130"/>
      <c r="M13" s="234"/>
      <c r="N13" s="234"/>
      <c r="O13" s="234"/>
      <c r="P13" s="234"/>
      <c r="Q13" s="234"/>
      <c r="R13" s="130"/>
      <c r="S13" s="234"/>
      <c r="T13" s="234"/>
      <c r="U13" s="234"/>
      <c r="V13" s="234"/>
      <c r="W13" s="234"/>
    </row>
    <row r="14" spans="1:23" ht="12.75" customHeight="1" x14ac:dyDescent="0.2">
      <c r="A14" s="144"/>
      <c r="B14" s="144"/>
      <c r="C14" s="144"/>
      <c r="D14" s="3"/>
      <c r="F14" s="130"/>
      <c r="G14" s="144"/>
      <c r="H14" s="144"/>
      <c r="I14" s="144"/>
      <c r="J14" s="3"/>
      <c r="L14" s="130"/>
      <c r="M14" s="144"/>
      <c r="N14" s="144"/>
      <c r="O14" s="144"/>
      <c r="P14" s="3"/>
      <c r="R14" s="130"/>
      <c r="S14" s="144"/>
      <c r="T14" s="144"/>
      <c r="U14" s="144"/>
      <c r="V14" s="3"/>
    </row>
    <row r="15" spans="1:23" ht="12.75" customHeight="1" x14ac:dyDescent="0.2">
      <c r="A15" s="230" t="s">
        <v>279</v>
      </c>
      <c r="B15" s="231"/>
      <c r="C15" s="231"/>
      <c r="D15" s="3" t="s">
        <v>262</v>
      </c>
      <c r="E15" s="154">
        <f>Auszahlungen!C85</f>
        <v>30580300</v>
      </c>
      <c r="F15" s="130"/>
      <c r="G15" s="230" t="s">
        <v>285</v>
      </c>
      <c r="H15" s="231"/>
      <c r="I15" s="231"/>
      <c r="J15" s="3" t="s">
        <v>262</v>
      </c>
      <c r="K15" s="154">
        <f>Auszahlungen!L85</f>
        <v>30580300</v>
      </c>
      <c r="L15" s="130"/>
      <c r="M15" s="230" t="s">
        <v>290</v>
      </c>
      <c r="N15" s="231"/>
      <c r="O15" s="231"/>
      <c r="P15" s="3" t="s">
        <v>262</v>
      </c>
      <c r="Q15" s="154">
        <f>Auszahlungen!U85</f>
        <v>30580300</v>
      </c>
      <c r="R15" s="130"/>
      <c r="S15" s="230" t="s">
        <v>295</v>
      </c>
      <c r="T15" s="231"/>
      <c r="U15" s="231"/>
      <c r="V15" s="3" t="s">
        <v>262</v>
      </c>
      <c r="W15" s="154">
        <f>Auszahlungen!AD85</f>
        <v>30576400</v>
      </c>
    </row>
    <row r="16" spans="1:23" ht="12.75" customHeight="1" x14ac:dyDescent="0.2">
      <c r="A16" s="231"/>
      <c r="B16" s="231"/>
      <c r="C16" s="231"/>
      <c r="D16" s="3"/>
      <c r="E16" s="154"/>
      <c r="F16" s="130"/>
      <c r="G16" s="231"/>
      <c r="H16" s="231"/>
      <c r="I16" s="231"/>
      <c r="J16" s="3"/>
      <c r="K16" s="154"/>
      <c r="L16" s="130"/>
      <c r="M16" s="231"/>
      <c r="N16" s="231"/>
      <c r="O16" s="231"/>
      <c r="P16" s="3"/>
      <c r="Q16" s="154"/>
      <c r="R16" s="130"/>
      <c r="S16" s="231"/>
      <c r="T16" s="231"/>
      <c r="U16" s="231"/>
      <c r="V16" s="3"/>
      <c r="W16" s="154"/>
    </row>
    <row r="17" spans="1:23" ht="12.75" customHeight="1" x14ac:dyDescent="0.2">
      <c r="A17" s="152"/>
      <c r="B17" s="152"/>
      <c r="C17" s="152"/>
      <c r="D17" s="3"/>
      <c r="E17" s="154"/>
      <c r="F17" s="130"/>
      <c r="G17" s="152"/>
      <c r="H17" s="152"/>
      <c r="I17" s="152"/>
      <c r="J17" s="3"/>
      <c r="K17" s="154"/>
      <c r="L17" s="130"/>
      <c r="M17" s="152"/>
      <c r="N17" s="152"/>
      <c r="O17" s="152"/>
      <c r="P17" s="3"/>
      <c r="Q17" s="154"/>
      <c r="R17" s="130"/>
      <c r="S17" s="152"/>
      <c r="T17" s="152"/>
      <c r="U17" s="152"/>
      <c r="V17" s="3"/>
      <c r="W17" s="154"/>
    </row>
    <row r="18" spans="1:23" ht="12.75" customHeight="1" x14ac:dyDescent="0.2">
      <c r="A18" s="230" t="s">
        <v>280</v>
      </c>
      <c r="B18" s="231"/>
      <c r="C18" s="231"/>
      <c r="D18" s="3" t="s">
        <v>262</v>
      </c>
      <c r="E18" s="154">
        <f>Auszahlungen!D85</f>
        <v>9579900</v>
      </c>
      <c r="F18" s="130"/>
      <c r="G18" s="230" t="s">
        <v>286</v>
      </c>
      <c r="H18" s="231"/>
      <c r="I18" s="231"/>
      <c r="J18" s="3" t="s">
        <v>262</v>
      </c>
      <c r="K18" s="154">
        <f>Auszahlungen!M85</f>
        <v>9579900</v>
      </c>
      <c r="L18" s="130"/>
      <c r="M18" s="230" t="s">
        <v>291</v>
      </c>
      <c r="N18" s="231"/>
      <c r="O18" s="231"/>
      <c r="P18" s="3" t="s">
        <v>262</v>
      </c>
      <c r="Q18" s="154">
        <f>Auszahlungen!V85</f>
        <v>9579900</v>
      </c>
      <c r="R18" s="130"/>
      <c r="S18" s="230" t="s">
        <v>296</v>
      </c>
      <c r="T18" s="231"/>
      <c r="U18" s="231"/>
      <c r="V18" s="3" t="s">
        <v>262</v>
      </c>
      <c r="W18" s="154">
        <f>Auszahlungen!AE85</f>
        <v>9576700</v>
      </c>
    </row>
    <row r="19" spans="1:23" ht="12.75" customHeight="1" x14ac:dyDescent="0.2">
      <c r="A19" s="231"/>
      <c r="B19" s="231"/>
      <c r="C19" s="231"/>
      <c r="D19" s="3"/>
      <c r="E19" s="154"/>
      <c r="F19" s="130"/>
      <c r="G19" s="231"/>
      <c r="H19" s="231"/>
      <c r="I19" s="231"/>
      <c r="J19" s="3"/>
      <c r="K19" s="154"/>
      <c r="L19" s="130"/>
      <c r="M19" s="231"/>
      <c r="N19" s="231"/>
      <c r="O19" s="231"/>
      <c r="P19" s="3"/>
      <c r="Q19" s="154"/>
      <c r="R19" s="130"/>
      <c r="S19" s="231"/>
      <c r="T19" s="231"/>
      <c r="U19" s="231"/>
      <c r="V19" s="3"/>
      <c r="W19" s="154"/>
    </row>
    <row r="20" spans="1:23" ht="12.75" customHeight="1" x14ac:dyDescent="0.2">
      <c r="A20" s="152"/>
      <c r="B20" s="152"/>
      <c r="C20" s="152"/>
      <c r="D20" s="3"/>
      <c r="E20" s="154"/>
      <c r="F20" s="130"/>
      <c r="G20" s="152"/>
      <c r="H20" s="152"/>
      <c r="I20" s="152"/>
      <c r="J20" s="3"/>
      <c r="K20" s="154"/>
      <c r="L20" s="130"/>
      <c r="M20" s="152"/>
      <c r="N20" s="152"/>
      <c r="O20" s="152"/>
      <c r="P20" s="3"/>
      <c r="Q20" s="154"/>
      <c r="R20" s="130"/>
      <c r="S20" s="152"/>
      <c r="T20" s="152"/>
      <c r="U20" s="152"/>
      <c r="V20" s="3"/>
      <c r="W20" s="154"/>
    </row>
    <row r="21" spans="1:23" ht="12.75" customHeight="1" x14ac:dyDescent="0.2">
      <c r="A21" s="230" t="s">
        <v>281</v>
      </c>
      <c r="B21" s="231"/>
      <c r="C21" s="231"/>
      <c r="D21" s="3" t="s">
        <v>262</v>
      </c>
      <c r="E21" s="154">
        <f>Auszahlungen!E85</f>
        <v>7930900</v>
      </c>
      <c r="F21" s="130"/>
      <c r="G21" s="230" t="s">
        <v>288</v>
      </c>
      <c r="H21" s="231"/>
      <c r="I21" s="231"/>
      <c r="J21" s="3" t="s">
        <v>262</v>
      </c>
      <c r="K21" s="154">
        <f>Auszahlungen!N85</f>
        <v>7930900</v>
      </c>
      <c r="L21" s="130"/>
      <c r="M21" s="230" t="s">
        <v>293</v>
      </c>
      <c r="N21" s="231"/>
      <c r="O21" s="231"/>
      <c r="P21" s="3" t="s">
        <v>262</v>
      </c>
      <c r="Q21" s="154">
        <f>Auszahlungen!W85</f>
        <v>7930900</v>
      </c>
      <c r="R21" s="130"/>
      <c r="S21" s="230" t="s">
        <v>298</v>
      </c>
      <c r="T21" s="231"/>
      <c r="U21" s="231"/>
      <c r="V21" s="3" t="s">
        <v>262</v>
      </c>
      <c r="W21" s="154">
        <f>Auszahlungen!AF85</f>
        <v>7993000</v>
      </c>
    </row>
    <row r="22" spans="1:23" ht="12.75" customHeight="1" x14ac:dyDescent="0.2">
      <c r="A22" s="231"/>
      <c r="B22" s="231"/>
      <c r="C22" s="231"/>
      <c r="D22" s="3"/>
      <c r="E22" s="154"/>
      <c r="F22" s="130"/>
      <c r="G22" s="231"/>
      <c r="H22" s="231"/>
      <c r="I22" s="231"/>
      <c r="J22" s="3"/>
      <c r="L22" s="130"/>
      <c r="M22" s="231"/>
      <c r="N22" s="231"/>
      <c r="O22" s="231"/>
      <c r="P22" s="3"/>
      <c r="R22" s="130"/>
      <c r="S22" s="231"/>
      <c r="T22" s="231"/>
      <c r="U22" s="231"/>
      <c r="V22" s="3"/>
    </row>
    <row r="23" spans="1:23" ht="12.75" customHeight="1" x14ac:dyDescent="0.2">
      <c r="A23" s="152"/>
      <c r="B23" s="152"/>
      <c r="C23" s="152"/>
      <c r="D23" s="3"/>
      <c r="E23" s="154"/>
      <c r="F23" s="130"/>
      <c r="G23" s="152"/>
      <c r="H23" s="152"/>
      <c r="I23" s="152"/>
      <c r="J23" s="3"/>
      <c r="K23" s="154"/>
      <c r="L23" s="130"/>
      <c r="M23" s="152"/>
      <c r="N23" s="152"/>
      <c r="O23" s="152"/>
      <c r="P23" s="3"/>
      <c r="Q23" s="154"/>
      <c r="R23" s="130"/>
      <c r="S23" s="152"/>
      <c r="T23" s="152"/>
      <c r="U23" s="152"/>
      <c r="V23" s="3"/>
      <c r="W23" s="154"/>
    </row>
    <row r="24" spans="1:23" ht="12.75" customHeight="1" x14ac:dyDescent="0.2">
      <c r="A24" s="230" t="s">
        <v>282</v>
      </c>
      <c r="B24" s="231"/>
      <c r="C24" s="231"/>
      <c r="D24" s="3" t="s">
        <v>262</v>
      </c>
      <c r="E24" s="154">
        <f>Auszahlungen!F85</f>
        <v>6428300</v>
      </c>
      <c r="F24" s="130"/>
      <c r="G24" s="230" t="s">
        <v>289</v>
      </c>
      <c r="H24" s="231"/>
      <c r="I24" s="231"/>
      <c r="J24" s="3" t="s">
        <v>262</v>
      </c>
      <c r="K24" s="154">
        <f>Auszahlungen!O85</f>
        <v>6428300</v>
      </c>
      <c r="L24" s="130"/>
      <c r="M24" s="230" t="s">
        <v>294</v>
      </c>
      <c r="N24" s="231"/>
      <c r="O24" s="231"/>
      <c r="P24" s="3" t="s">
        <v>262</v>
      </c>
      <c r="Q24" s="154">
        <f>Auszahlungen!X85</f>
        <v>6428300</v>
      </c>
      <c r="R24" s="130"/>
      <c r="S24" s="230" t="s">
        <v>299</v>
      </c>
      <c r="T24" s="231"/>
      <c r="U24" s="231"/>
      <c r="V24" s="3" t="s">
        <v>262</v>
      </c>
      <c r="W24" s="154">
        <f>Auszahlungen!AG85</f>
        <v>6452000</v>
      </c>
    </row>
    <row r="25" spans="1:23" ht="12.75" customHeight="1" x14ac:dyDescent="0.2">
      <c r="A25" s="231"/>
      <c r="B25" s="231"/>
      <c r="C25" s="231"/>
      <c r="D25" s="3"/>
      <c r="E25" s="154"/>
      <c r="F25" s="130"/>
      <c r="G25" s="231"/>
      <c r="H25" s="231"/>
      <c r="I25" s="231"/>
      <c r="J25" s="3"/>
      <c r="K25" s="154"/>
      <c r="L25" s="130"/>
      <c r="M25" s="231"/>
      <c r="N25" s="231"/>
      <c r="O25" s="231"/>
      <c r="P25" s="3"/>
      <c r="Q25" s="154"/>
      <c r="R25" s="130"/>
      <c r="S25" s="231"/>
      <c r="T25" s="231"/>
      <c r="U25" s="231"/>
      <c r="V25" s="3"/>
      <c r="W25" s="154"/>
    </row>
    <row r="26" spans="1:23" ht="12.75" customHeight="1" x14ac:dyDescent="0.2">
      <c r="A26" s="152"/>
      <c r="B26" s="152"/>
      <c r="C26" s="152"/>
      <c r="D26" s="3"/>
      <c r="E26" s="154"/>
      <c r="F26" s="130"/>
      <c r="G26" s="152"/>
      <c r="H26" s="152"/>
      <c r="I26" s="152"/>
      <c r="J26" s="3"/>
      <c r="K26" s="154"/>
      <c r="L26" s="130"/>
      <c r="M26" s="152"/>
      <c r="N26" s="152"/>
      <c r="O26" s="152"/>
      <c r="P26" s="3"/>
      <c r="Q26" s="154"/>
      <c r="R26" s="130"/>
      <c r="S26" s="152"/>
      <c r="T26" s="152"/>
      <c r="U26" s="152"/>
      <c r="V26" s="3"/>
      <c r="W26" s="154"/>
    </row>
    <row r="27" spans="1:23" ht="12.75" customHeight="1" x14ac:dyDescent="0.2">
      <c r="A27" s="230" t="s">
        <v>283</v>
      </c>
      <c r="B27" s="231"/>
      <c r="C27" s="231"/>
      <c r="D27" s="3" t="s">
        <v>262</v>
      </c>
      <c r="E27" s="154">
        <f>Auszahlungen!G85</f>
        <v>4043300</v>
      </c>
      <c r="F27" s="130"/>
      <c r="G27" s="230" t="s">
        <v>287</v>
      </c>
      <c r="H27" s="231"/>
      <c r="I27" s="231"/>
      <c r="J27" s="3" t="s">
        <v>262</v>
      </c>
      <c r="K27" s="154">
        <f>Auszahlungen!P85</f>
        <v>4043300</v>
      </c>
      <c r="L27" s="130"/>
      <c r="M27" s="230" t="s">
        <v>292</v>
      </c>
      <c r="N27" s="231"/>
      <c r="O27" s="231"/>
      <c r="P27" s="3" t="s">
        <v>262</v>
      </c>
      <c r="Q27" s="154">
        <f>Auszahlungen!Y85</f>
        <v>4043300</v>
      </c>
      <c r="R27" s="130"/>
      <c r="S27" s="230" t="s">
        <v>297</v>
      </c>
      <c r="T27" s="231"/>
      <c r="U27" s="231"/>
      <c r="V27" s="3" t="s">
        <v>262</v>
      </c>
      <c r="W27" s="154">
        <f>Auszahlungen!AH85</f>
        <v>4043200</v>
      </c>
    </row>
    <row r="28" spans="1:23" ht="12.75" customHeight="1" x14ac:dyDescent="0.2">
      <c r="A28" s="231"/>
      <c r="B28" s="231"/>
      <c r="C28" s="231"/>
      <c r="D28" s="3"/>
      <c r="E28" s="154"/>
      <c r="F28" s="130"/>
      <c r="G28" s="231"/>
      <c r="H28" s="231"/>
      <c r="I28" s="231"/>
      <c r="J28" s="3"/>
      <c r="K28" s="154"/>
      <c r="L28" s="130"/>
      <c r="M28" s="231"/>
      <c r="N28" s="231"/>
      <c r="O28" s="231"/>
      <c r="P28" s="3"/>
      <c r="Q28" s="154"/>
      <c r="R28" s="130"/>
      <c r="S28" s="231"/>
      <c r="T28" s="231"/>
      <c r="U28" s="231"/>
      <c r="V28" s="3"/>
      <c r="W28" s="154"/>
    </row>
    <row r="29" spans="1:23" ht="12.75" customHeight="1" x14ac:dyDescent="0.2">
      <c r="A29" s="146"/>
      <c r="B29" s="147"/>
      <c r="C29" s="148"/>
      <c r="D29" s="153"/>
      <c r="E29" s="155"/>
      <c r="F29" s="130"/>
      <c r="G29" s="146"/>
      <c r="H29" s="147"/>
      <c r="I29" s="148"/>
      <c r="J29" s="153"/>
      <c r="K29" s="155"/>
      <c r="L29" s="130"/>
      <c r="M29" s="146"/>
      <c r="N29" s="147"/>
      <c r="O29" s="148"/>
      <c r="P29" s="153"/>
      <c r="Q29" s="155"/>
      <c r="R29" s="130"/>
      <c r="S29" s="146"/>
      <c r="T29" s="147"/>
      <c r="U29" s="148"/>
      <c r="V29" s="153"/>
      <c r="W29" s="155"/>
    </row>
    <row r="30" spans="1:23" ht="12.75" customHeight="1" x14ac:dyDescent="0.2">
      <c r="A30" s="149" t="s">
        <v>82</v>
      </c>
      <c r="B30" s="150"/>
      <c r="C30" s="151"/>
      <c r="D30" s="21" t="s">
        <v>262</v>
      </c>
      <c r="E30" s="156">
        <f>Auszahlungen!H85</f>
        <v>58562700</v>
      </c>
      <c r="F30" s="130"/>
      <c r="G30" s="149" t="s">
        <v>82</v>
      </c>
      <c r="H30" s="150"/>
      <c r="I30" s="151"/>
      <c r="J30" s="21" t="s">
        <v>262</v>
      </c>
      <c r="K30" s="156">
        <f>Auszahlungen!Q85</f>
        <v>58562700</v>
      </c>
      <c r="L30" s="130"/>
      <c r="M30" s="149" t="s">
        <v>82</v>
      </c>
      <c r="N30" s="150"/>
      <c r="O30" s="151"/>
      <c r="P30" s="21" t="s">
        <v>262</v>
      </c>
      <c r="Q30" s="156">
        <f>Auszahlungen!Z85</f>
        <v>58562700</v>
      </c>
      <c r="R30" s="130"/>
      <c r="S30" s="149" t="s">
        <v>82</v>
      </c>
      <c r="T30" s="150"/>
      <c r="U30" s="151"/>
      <c r="V30" s="21" t="s">
        <v>262</v>
      </c>
      <c r="W30" s="156">
        <f>Auszahlungen!AI85</f>
        <v>58641300</v>
      </c>
    </row>
    <row r="31" spans="1:23" ht="12.75" customHeight="1" x14ac:dyDescent="0.2">
      <c r="A31" s="3"/>
      <c r="B31" s="3"/>
      <c r="C31" s="3"/>
      <c r="D31" s="3"/>
      <c r="E31" s="84"/>
      <c r="F31" s="84"/>
      <c r="G31" s="38"/>
      <c r="H31" s="38"/>
      <c r="I31" s="38"/>
      <c r="J31" s="38"/>
      <c r="K31" s="84"/>
      <c r="L31" s="84"/>
      <c r="M31" s="38"/>
      <c r="N31" s="38"/>
      <c r="O31" s="38"/>
      <c r="P31" s="38"/>
      <c r="Q31" s="84"/>
      <c r="S31" s="38"/>
      <c r="T31" s="38"/>
      <c r="U31" s="38"/>
      <c r="V31" s="38"/>
      <c r="W31" s="84"/>
    </row>
    <row r="32" spans="1:23" ht="12.75" customHeight="1" x14ac:dyDescent="0.2">
      <c r="A32" s="3"/>
      <c r="B32" s="3"/>
      <c r="C32" s="3"/>
      <c r="D32" s="3"/>
      <c r="E32" s="84"/>
      <c r="F32" s="84"/>
      <c r="G32" s="38"/>
      <c r="H32" s="38"/>
      <c r="I32" s="38"/>
      <c r="J32" s="38"/>
      <c r="K32" s="84"/>
      <c r="L32" s="84"/>
      <c r="M32" s="38"/>
      <c r="N32" s="38"/>
      <c r="O32" s="38"/>
      <c r="P32" s="38"/>
      <c r="Q32" s="84"/>
      <c r="S32" s="38"/>
      <c r="T32" s="38"/>
      <c r="U32" s="38"/>
      <c r="V32" s="38"/>
      <c r="W32" s="84"/>
    </row>
    <row r="33" spans="1:23" ht="12.75" customHeight="1" x14ac:dyDescent="0.2">
      <c r="A33" s="3"/>
      <c r="B33" s="3"/>
      <c r="C33" s="3"/>
      <c r="D33" s="3"/>
      <c r="E33" s="84"/>
      <c r="F33" s="84"/>
      <c r="G33" s="38"/>
      <c r="H33" s="38"/>
      <c r="I33" s="38"/>
      <c r="J33" s="38"/>
      <c r="K33" s="84"/>
      <c r="L33" s="84"/>
      <c r="M33" s="38"/>
      <c r="N33" s="38"/>
      <c r="O33" s="38"/>
      <c r="P33" s="38"/>
      <c r="Q33" s="84"/>
      <c r="S33" s="38"/>
      <c r="T33" s="38"/>
      <c r="U33" s="38"/>
      <c r="V33" s="38"/>
      <c r="W33" s="84"/>
    </row>
    <row r="34" spans="1:23" ht="12.75" customHeight="1" x14ac:dyDescent="0.2">
      <c r="F34" s="84"/>
      <c r="G34" s="38"/>
      <c r="H34" s="38"/>
      <c r="I34" s="38"/>
      <c r="J34" s="38"/>
      <c r="K34" s="84"/>
      <c r="L34" s="84"/>
      <c r="M34" s="38"/>
      <c r="N34" s="38"/>
      <c r="O34" s="38"/>
      <c r="P34" s="38"/>
      <c r="Q34" s="84"/>
      <c r="S34" s="38"/>
      <c r="T34" s="38"/>
      <c r="U34" s="38"/>
      <c r="V34" s="38"/>
      <c r="W34" s="84"/>
    </row>
    <row r="35" spans="1:23" ht="12.75" customHeight="1" x14ac:dyDescent="0.2">
      <c r="F35" s="84"/>
      <c r="G35" s="38"/>
      <c r="H35" s="38"/>
      <c r="I35" s="38"/>
      <c r="J35" s="38"/>
      <c r="K35" s="84"/>
      <c r="L35" s="84"/>
      <c r="M35" s="38"/>
      <c r="N35" s="38"/>
      <c r="O35" s="38"/>
      <c r="P35" s="38"/>
      <c r="Q35" s="84"/>
      <c r="S35" s="38"/>
      <c r="T35" s="38"/>
      <c r="U35" s="38"/>
      <c r="V35" s="38"/>
      <c r="W35" s="84"/>
    </row>
    <row r="36" spans="1:23" ht="12.75" customHeight="1" x14ac:dyDescent="0.2">
      <c r="D36" s="3"/>
      <c r="E36" s="84"/>
      <c r="F36" s="84"/>
      <c r="G36" s="38"/>
      <c r="H36" s="38"/>
      <c r="I36" s="38"/>
      <c r="J36" s="38"/>
      <c r="K36" s="84"/>
      <c r="L36" s="84"/>
      <c r="M36" s="38"/>
      <c r="N36" s="38"/>
      <c r="O36" s="38"/>
      <c r="P36" s="38"/>
      <c r="Q36" s="84"/>
      <c r="S36" s="38"/>
      <c r="T36" s="38"/>
      <c r="U36" s="38"/>
      <c r="V36" s="38"/>
      <c r="W36" s="84"/>
    </row>
    <row r="37" spans="1:23" ht="12.75" customHeight="1" x14ac:dyDescent="0.2">
      <c r="D37" s="3"/>
      <c r="E37" s="84"/>
      <c r="F37" s="84"/>
      <c r="G37" s="38"/>
      <c r="H37" s="38"/>
      <c r="I37" s="38"/>
      <c r="J37" s="38"/>
      <c r="K37" s="84"/>
      <c r="L37" s="84"/>
      <c r="M37" s="38"/>
      <c r="N37" s="38"/>
      <c r="O37" s="38"/>
      <c r="P37" s="38"/>
      <c r="Q37" s="84"/>
      <c r="S37" s="38"/>
      <c r="T37" s="38"/>
      <c r="U37" s="38"/>
      <c r="V37" s="38"/>
      <c r="W37" s="84"/>
    </row>
    <row r="38" spans="1:23" ht="12.75" customHeight="1" x14ac:dyDescent="0.2">
      <c r="A38" s="3"/>
      <c r="B38" s="3"/>
      <c r="C38" s="3"/>
      <c r="D38" s="3"/>
      <c r="E38" s="84"/>
      <c r="F38" s="84"/>
      <c r="G38" s="38"/>
      <c r="H38" s="38"/>
      <c r="I38" s="38"/>
      <c r="J38" s="38"/>
      <c r="K38" s="84"/>
      <c r="L38" s="84"/>
      <c r="M38" s="38"/>
      <c r="N38" s="38"/>
      <c r="O38" s="38"/>
      <c r="P38" s="38"/>
      <c r="Q38" s="84"/>
      <c r="S38" s="38"/>
      <c r="T38" s="38"/>
      <c r="U38" s="38"/>
      <c r="V38" s="38"/>
      <c r="W38" s="84"/>
    </row>
    <row r="39" spans="1:23" ht="12.75" customHeight="1" x14ac:dyDescent="0.2">
      <c r="A39" s="3"/>
      <c r="B39" s="3"/>
      <c r="C39" s="3"/>
      <c r="D39" s="3"/>
      <c r="E39" s="84"/>
      <c r="F39" s="84"/>
      <c r="G39" s="38"/>
      <c r="H39" s="38"/>
      <c r="I39" s="38"/>
      <c r="J39" s="38"/>
      <c r="K39" s="84"/>
      <c r="L39" s="84"/>
      <c r="M39" s="38"/>
      <c r="N39" s="38"/>
      <c r="O39" s="38"/>
      <c r="P39" s="38"/>
      <c r="Q39" s="84"/>
      <c r="S39" s="38"/>
      <c r="T39" s="38"/>
      <c r="U39" s="38"/>
      <c r="V39" s="38"/>
      <c r="W39" s="84"/>
    </row>
    <row r="40" spans="1:23" ht="12.75" customHeight="1" x14ac:dyDescent="0.2">
      <c r="A40" s="3"/>
      <c r="B40" s="3"/>
      <c r="C40" s="3"/>
      <c r="D40" s="3"/>
      <c r="E40" s="84"/>
      <c r="F40" s="84"/>
      <c r="G40" s="38"/>
      <c r="H40" s="38"/>
      <c r="I40" s="38"/>
      <c r="J40" s="38"/>
      <c r="K40" s="84"/>
      <c r="L40" s="84"/>
      <c r="M40" s="38"/>
      <c r="N40" s="38"/>
      <c r="O40" s="38"/>
      <c r="P40" s="38"/>
      <c r="Q40" s="84"/>
      <c r="S40" s="38"/>
      <c r="T40" s="38"/>
      <c r="U40" s="38"/>
      <c r="V40" s="38"/>
      <c r="W40" s="84"/>
    </row>
    <row r="41" spans="1:23" ht="12.75" customHeight="1" x14ac:dyDescent="0.2">
      <c r="A41" s="3"/>
      <c r="B41" s="3"/>
      <c r="C41" s="3"/>
      <c r="D41" s="3"/>
      <c r="E41" s="84"/>
      <c r="F41" s="84"/>
      <c r="G41" s="38"/>
      <c r="H41" s="38"/>
      <c r="I41" s="38"/>
      <c r="J41" s="38"/>
      <c r="K41" s="84"/>
      <c r="L41" s="84"/>
      <c r="M41" s="38"/>
      <c r="N41" s="38"/>
      <c r="O41" s="38"/>
      <c r="P41" s="38"/>
      <c r="Q41" s="84"/>
      <c r="S41" s="38"/>
      <c r="T41" s="38"/>
      <c r="U41" s="38"/>
      <c r="V41" s="38"/>
      <c r="W41" s="84"/>
    </row>
    <row r="42" spans="1:23" x14ac:dyDescent="0.2">
      <c r="A42" s="3"/>
      <c r="B42" s="5"/>
      <c r="C42" s="5"/>
      <c r="D42" s="5"/>
      <c r="E42" s="84"/>
      <c r="F42" s="84"/>
      <c r="G42" s="38"/>
      <c r="H42" s="5"/>
      <c r="I42" s="5"/>
      <c r="J42" s="5"/>
      <c r="K42" s="84"/>
      <c r="L42" s="84"/>
      <c r="M42" s="38"/>
      <c r="N42" s="5"/>
      <c r="O42" s="5"/>
      <c r="P42" s="5"/>
      <c r="Q42" s="84"/>
      <c r="S42" s="38"/>
      <c r="T42" s="5"/>
      <c r="U42" s="5"/>
      <c r="V42" s="5"/>
      <c r="W42" s="84"/>
    </row>
    <row r="43" spans="1:23" x14ac:dyDescent="0.2"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S43" s="84"/>
      <c r="T43" s="84"/>
      <c r="U43" s="84"/>
      <c r="V43" s="84"/>
      <c r="W43" s="84"/>
    </row>
  </sheetData>
  <mergeCells count="28">
    <mergeCell ref="M27:O28"/>
    <mergeCell ref="S8:W10"/>
    <mergeCell ref="S12:W13"/>
    <mergeCell ref="S15:U16"/>
    <mergeCell ref="S18:U19"/>
    <mergeCell ref="S21:U22"/>
    <mergeCell ref="S24:U25"/>
    <mergeCell ref="S27:U28"/>
    <mergeCell ref="M8:Q10"/>
    <mergeCell ref="M12:Q13"/>
    <mergeCell ref="M15:O16"/>
    <mergeCell ref="M18:O19"/>
    <mergeCell ref="M21:O22"/>
    <mergeCell ref="M24:O25"/>
    <mergeCell ref="A21:C22"/>
    <mergeCell ref="A24:C25"/>
    <mergeCell ref="A27:C28"/>
    <mergeCell ref="G8:K10"/>
    <mergeCell ref="G12:K13"/>
    <mergeCell ref="G15:I16"/>
    <mergeCell ref="G18:I19"/>
    <mergeCell ref="G21:I22"/>
    <mergeCell ref="G24:I25"/>
    <mergeCell ref="G27:I28"/>
    <mergeCell ref="A8:E10"/>
    <mergeCell ref="A12:E13"/>
    <mergeCell ref="A15:C16"/>
    <mergeCell ref="A18:C19"/>
  </mergeCells>
  <pageMargins left="0.51181102362204722" right="0.51181102362204722" top="0.39370078740157483" bottom="0.39370078740157483" header="0.31496062992125984" footer="0.31496062992125984"/>
  <pageSetup paperSize="9" orientation="portrait" r:id="rId1"/>
  <headerFooter>
    <oddFooter>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4"/>
  <sheetViews>
    <sheetView showGridLines="0" tabSelected="1" workbookViewId="0">
      <selection activeCell="B7" sqref="B7:E7"/>
    </sheetView>
  </sheetViews>
  <sheetFormatPr baseColWidth="10" defaultRowHeight="12.75" x14ac:dyDescent="0.2"/>
  <cols>
    <col min="1" max="1" width="30.140625" customWidth="1"/>
    <col min="2" max="2" width="12" customWidth="1"/>
    <col min="3" max="3" width="6.7109375" customWidth="1"/>
    <col min="4" max="4" width="3.5703125" customWidth="1"/>
    <col min="5" max="5" width="17" customWidth="1"/>
    <col min="6" max="6" width="3.7109375" customWidth="1"/>
    <col min="7" max="7" width="17.140625" customWidth="1"/>
    <col min="8" max="8" width="3.42578125" customWidth="1"/>
    <col min="9" max="9" width="17.28515625" customWidth="1"/>
    <col min="10" max="10" width="3.42578125" customWidth="1"/>
    <col min="11" max="11" width="17" customWidth="1"/>
    <col min="12" max="12" width="3.7109375" customWidth="1"/>
    <col min="13" max="13" width="17.140625" customWidth="1"/>
  </cols>
  <sheetData>
    <row r="1" spans="1:13" x14ac:dyDescent="0.2">
      <c r="A1" s="83" t="s">
        <v>217</v>
      </c>
    </row>
    <row r="2" spans="1:13" x14ac:dyDescent="0.2">
      <c r="A2" t="s">
        <v>218</v>
      </c>
    </row>
    <row r="5" spans="1:13" ht="26.25" x14ac:dyDescent="0.2">
      <c r="A5" s="94" t="s">
        <v>310</v>
      </c>
      <c r="B5" s="80"/>
      <c r="C5" s="79"/>
      <c r="D5" s="78"/>
    </row>
    <row r="6" spans="1:13" x14ac:dyDescent="0.2">
      <c r="A6" s="78"/>
      <c r="B6" s="78"/>
      <c r="C6" s="78"/>
      <c r="D6" s="78"/>
    </row>
    <row r="7" spans="1:13" ht="18" x14ac:dyDescent="0.2">
      <c r="A7" s="79" t="s">
        <v>219</v>
      </c>
      <c r="B7" s="235" t="s">
        <v>225</v>
      </c>
      <c r="C7" s="236"/>
      <c r="D7" s="236"/>
      <c r="E7" s="237"/>
    </row>
    <row r="8" spans="1:13" x14ac:dyDescent="0.2">
      <c r="A8" s="81"/>
      <c r="B8" s="81"/>
      <c r="C8" s="81"/>
      <c r="D8" s="81"/>
    </row>
    <row r="9" spans="1:13" x14ac:dyDescent="0.2">
      <c r="A9" s="81"/>
      <c r="B9" s="81"/>
      <c r="C9" s="81"/>
      <c r="D9" s="81"/>
    </row>
    <row r="10" spans="1:13" ht="15.75" x14ac:dyDescent="0.2">
      <c r="A10" s="99" t="s">
        <v>304</v>
      </c>
      <c r="B10" s="97"/>
      <c r="C10" s="97"/>
      <c r="D10" s="97"/>
    </row>
    <row r="11" spans="1:13" x14ac:dyDescent="0.2">
      <c r="A11" s="98"/>
      <c r="B11" s="98"/>
      <c r="C11" s="98"/>
      <c r="D11" s="98"/>
    </row>
    <row r="12" spans="1:13" ht="19.5" customHeight="1" x14ac:dyDescent="0.2">
      <c r="A12" s="171" t="s">
        <v>305</v>
      </c>
      <c r="B12" s="172"/>
      <c r="C12" s="175"/>
      <c r="D12" s="172"/>
      <c r="E12" s="218" t="s">
        <v>317</v>
      </c>
      <c r="F12" s="109"/>
      <c r="G12" s="174" t="s">
        <v>306</v>
      </c>
      <c r="H12" s="173"/>
      <c r="I12" s="173" t="s">
        <v>307</v>
      </c>
      <c r="J12" s="179"/>
      <c r="K12" s="174" t="s">
        <v>308</v>
      </c>
      <c r="L12" s="173"/>
      <c r="M12" s="174" t="s">
        <v>311</v>
      </c>
    </row>
    <row r="13" spans="1:13" s="82" customFormat="1" ht="19.5" customHeight="1" x14ac:dyDescent="0.2">
      <c r="A13" s="180" t="s">
        <v>220</v>
      </c>
      <c r="B13" s="181"/>
      <c r="C13" s="182" t="s">
        <v>228</v>
      </c>
      <c r="D13" s="183"/>
      <c r="E13" s="183" t="e">
        <f>VLOOKUP(B$7,Total!B$7:H$85,2,FALSE)</f>
        <v>#N/A</v>
      </c>
      <c r="F13" s="184"/>
      <c r="G13" s="220" t="e">
        <f>VLOOKUP(B$7,Auszahlungen!B$7:H$85,2,FALSE)</f>
        <v>#N/A</v>
      </c>
      <c r="H13" s="193"/>
      <c r="I13" s="183" t="e">
        <f>VLOOKUP(B$7,Auszahlungen!K$7:Q$85,2,FALSE)</f>
        <v>#N/A</v>
      </c>
      <c r="J13" s="194"/>
      <c r="K13" s="220" t="e">
        <f>VLOOKUP(B$7,Auszahlungen!T$7:Z$85,2,FALSE)</f>
        <v>#N/A</v>
      </c>
      <c r="L13" s="193"/>
      <c r="M13" s="220" t="e">
        <f>VLOOKUP(B$7,Auszahlungen!AC$7:AI$85,2,FALSE)</f>
        <v>#N/A</v>
      </c>
    </row>
    <row r="14" spans="1:13" s="82" customFormat="1" ht="19.5" customHeight="1" x14ac:dyDescent="0.2">
      <c r="A14" s="167" t="s">
        <v>221</v>
      </c>
      <c r="B14" s="95"/>
      <c r="C14" s="176" t="s">
        <v>228</v>
      </c>
      <c r="D14" s="96"/>
      <c r="E14" s="183" t="e">
        <f>VLOOKUP(B$7,Total!B$7:H$85,3,FALSE)</f>
        <v>#N/A</v>
      </c>
      <c r="F14" s="178"/>
      <c r="G14" s="220" t="e">
        <f>VLOOKUP(B$7,Auszahlungen!B$7:H$85,3,FALSE)</f>
        <v>#N/A</v>
      </c>
      <c r="H14" s="195"/>
      <c r="I14" s="183" t="e">
        <f>VLOOKUP(B$7,Auszahlungen!K$7:Q$85,3,FALSE)</f>
        <v>#N/A</v>
      </c>
      <c r="J14" s="194"/>
      <c r="K14" s="220" t="e">
        <f>VLOOKUP(B$7,Auszahlungen!T$7:Z$85,3,FALSE)</f>
        <v>#N/A</v>
      </c>
      <c r="L14" s="195"/>
      <c r="M14" s="220" t="e">
        <f>VLOOKUP(B$7,Auszahlungen!AC$7:AI$85,3,FALSE)</f>
        <v>#N/A</v>
      </c>
    </row>
    <row r="15" spans="1:13" s="82" customFormat="1" ht="19.5" customHeight="1" x14ac:dyDescent="0.2">
      <c r="A15" s="180" t="s">
        <v>222</v>
      </c>
      <c r="B15" s="181"/>
      <c r="C15" s="182" t="s">
        <v>228</v>
      </c>
      <c r="D15" s="183"/>
      <c r="E15" s="183" t="e">
        <f>VLOOKUP(B$7,Total!B$7:H$85,4,FALSE)</f>
        <v>#N/A</v>
      </c>
      <c r="F15" s="184"/>
      <c r="G15" s="220" t="e">
        <f>VLOOKUP(B$7,Auszahlungen!B$7:H$85,4,FALSE)</f>
        <v>#N/A</v>
      </c>
      <c r="H15" s="193"/>
      <c r="I15" s="183" t="e">
        <f>VLOOKUP(B$7,Auszahlungen!K$7:Q$85,4,FALSE)</f>
        <v>#N/A</v>
      </c>
      <c r="J15" s="194"/>
      <c r="K15" s="220" t="e">
        <f>VLOOKUP(B$7,Auszahlungen!T$7:Z$85,4,FALSE)</f>
        <v>#N/A</v>
      </c>
      <c r="L15" s="193"/>
      <c r="M15" s="220" t="e">
        <f>VLOOKUP(B$7,Auszahlungen!AC$7:AI$85,4,FALSE)</f>
        <v>#N/A</v>
      </c>
    </row>
    <row r="16" spans="1:13" s="82" customFormat="1" ht="19.5" customHeight="1" x14ac:dyDescent="0.2">
      <c r="A16" s="167" t="s">
        <v>223</v>
      </c>
      <c r="B16" s="95"/>
      <c r="C16" s="176" t="s">
        <v>228</v>
      </c>
      <c r="D16" s="96"/>
      <c r="E16" s="183" t="e">
        <f>VLOOKUP(B$7,Total!B$7:H$85,5,FALSE)</f>
        <v>#N/A</v>
      </c>
      <c r="F16" s="178"/>
      <c r="G16" s="220" t="e">
        <f>VLOOKUP(B$7,Auszahlungen!B$7:H$85,5,FALSE)</f>
        <v>#N/A</v>
      </c>
      <c r="H16" s="195"/>
      <c r="I16" s="183" t="e">
        <f>VLOOKUP(B$7,Auszahlungen!K$7:Q$85,5,FALSE)</f>
        <v>#N/A</v>
      </c>
      <c r="J16" s="194"/>
      <c r="K16" s="220" t="e">
        <f>VLOOKUP(B$7,Auszahlungen!T$7:Z$85,5,FALSE)</f>
        <v>#N/A</v>
      </c>
      <c r="L16" s="195"/>
      <c r="M16" s="220" t="e">
        <f>VLOOKUP(B$7,Auszahlungen!AC$7:AI$85,5,FALSE)</f>
        <v>#N/A</v>
      </c>
    </row>
    <row r="17" spans="1:13" s="82" customFormat="1" ht="19.5" customHeight="1" x14ac:dyDescent="0.2">
      <c r="A17" s="180" t="s">
        <v>224</v>
      </c>
      <c r="B17" s="181"/>
      <c r="C17" s="182" t="s">
        <v>228</v>
      </c>
      <c r="D17" s="183"/>
      <c r="E17" s="183" t="e">
        <f>VLOOKUP(B$7,Total!B$7:H$85,6,FALSE)</f>
        <v>#N/A</v>
      </c>
      <c r="F17" s="184"/>
      <c r="G17" s="220" t="e">
        <f>VLOOKUP(B$7,Auszahlungen!B$7:H$85,6,FALSE)</f>
        <v>#N/A</v>
      </c>
      <c r="H17" s="193"/>
      <c r="I17" s="183" t="e">
        <f>VLOOKUP(B$7,Auszahlungen!K$7:Q$85,6,FALSE)</f>
        <v>#N/A</v>
      </c>
      <c r="J17" s="194"/>
      <c r="K17" s="220" t="e">
        <f>VLOOKUP(B$7,Auszahlungen!T$7:Z$85,6,FALSE)</f>
        <v>#N/A</v>
      </c>
      <c r="L17" s="193"/>
      <c r="M17" s="220" t="e">
        <f>VLOOKUP(B$7,Auszahlungen!AC$7:AI$85,6,FALSE)</f>
        <v>#N/A</v>
      </c>
    </row>
    <row r="18" spans="1:13" s="82" customFormat="1" ht="19.5" customHeight="1" x14ac:dyDescent="0.2">
      <c r="A18" s="168" t="s">
        <v>315</v>
      </c>
      <c r="B18" s="169"/>
      <c r="C18" s="177"/>
      <c r="D18" s="170"/>
      <c r="E18" s="185" t="e">
        <f>VLOOKUP(B$7,Total!B$7:H$85,7,FALSE)</f>
        <v>#N/A</v>
      </c>
      <c r="F18" s="186"/>
      <c r="G18" s="221" t="e">
        <f>VLOOKUP(B$7,Auszahlungen!B$7:H$85,7,FALSE)</f>
        <v>#N/A</v>
      </c>
      <c r="H18" s="197"/>
      <c r="I18" s="185" t="e">
        <f>VLOOKUP(B$7,Auszahlungen!K$7:Q$85,7,FALSE)</f>
        <v>#N/A</v>
      </c>
      <c r="J18" s="199"/>
      <c r="K18" s="221" t="e">
        <f>VLOOKUP(B$7,Auszahlungen!T$7:Z$85,7,FALSE)</f>
        <v>#N/A</v>
      </c>
      <c r="L18" s="197"/>
      <c r="M18" s="221" t="e">
        <f>VLOOKUP(B$7,Auszahlungen!AC$7:AI$85,7,FALSE)</f>
        <v>#N/A</v>
      </c>
    </row>
    <row r="19" spans="1:13" x14ac:dyDescent="0.2">
      <c r="A19" s="81"/>
      <c r="B19" s="81"/>
      <c r="C19" s="81"/>
      <c r="D19" s="81"/>
    </row>
    <row r="20" spans="1:13" x14ac:dyDescent="0.2">
      <c r="A20" s="81"/>
      <c r="B20" s="81"/>
      <c r="C20" s="81"/>
      <c r="D20" s="81"/>
    </row>
    <row r="21" spans="1:13" ht="15.75" x14ac:dyDescent="0.25">
      <c r="A21" s="219" t="s">
        <v>316</v>
      </c>
      <c r="B21" s="81"/>
      <c r="C21" s="81"/>
      <c r="D21" s="81"/>
    </row>
    <row r="22" spans="1:13" x14ac:dyDescent="0.2">
      <c r="A22" s="81"/>
      <c r="B22" s="81"/>
      <c r="C22" s="81"/>
      <c r="D22" s="81"/>
    </row>
    <row r="23" spans="1:13" ht="19.5" customHeight="1" x14ac:dyDescent="0.2">
      <c r="A23" s="171" t="s">
        <v>305</v>
      </c>
      <c r="B23" s="172"/>
      <c r="C23" s="175"/>
      <c r="D23" s="172"/>
      <c r="E23" s="173" t="s">
        <v>312</v>
      </c>
      <c r="F23" s="109"/>
      <c r="G23" s="173" t="s">
        <v>313</v>
      </c>
      <c r="H23" s="179"/>
      <c r="I23" s="222" t="s">
        <v>314</v>
      </c>
    </row>
    <row r="24" spans="1:13" ht="19.5" customHeight="1" x14ac:dyDescent="0.2">
      <c r="A24" s="180" t="s">
        <v>220</v>
      </c>
      <c r="B24" s="181"/>
      <c r="C24" s="182"/>
      <c r="D24" s="183"/>
      <c r="E24" s="183" t="e">
        <f>VLOOKUP(B$7,Total!K$7:Q$85,2,FALSE)</f>
        <v>#N/A</v>
      </c>
      <c r="F24" s="184"/>
      <c r="G24" s="183" t="e">
        <f>I24-E24</f>
        <v>#N/A</v>
      </c>
      <c r="H24" s="194"/>
      <c r="I24" s="220" t="e">
        <f t="shared" ref="I24:I29" si="0">E13</f>
        <v>#N/A</v>
      </c>
    </row>
    <row r="25" spans="1:13" ht="19.5" customHeight="1" x14ac:dyDescent="0.2">
      <c r="A25" s="167" t="s">
        <v>221</v>
      </c>
      <c r="B25" s="95"/>
      <c r="C25" s="176"/>
      <c r="D25" s="96"/>
      <c r="E25" s="183" t="e">
        <f>VLOOKUP(B$7,Total!K$7:Q$85,3,FALSE)</f>
        <v>#N/A</v>
      </c>
      <c r="F25" s="178"/>
      <c r="G25" s="183" t="e">
        <f t="shared" ref="G25:G29" si="1">I25-E25</f>
        <v>#N/A</v>
      </c>
      <c r="H25" s="196"/>
      <c r="I25" s="220" t="e">
        <f t="shared" si="0"/>
        <v>#N/A</v>
      </c>
    </row>
    <row r="26" spans="1:13" ht="19.5" customHeight="1" x14ac:dyDescent="0.2">
      <c r="A26" s="180" t="s">
        <v>222</v>
      </c>
      <c r="B26" s="181"/>
      <c r="C26" s="182"/>
      <c r="D26" s="183"/>
      <c r="E26" s="183" t="e">
        <f>VLOOKUP(B$7,Total!K$7:Q$85,4,FALSE)</f>
        <v>#N/A</v>
      </c>
      <c r="F26" s="184"/>
      <c r="G26" s="183" t="e">
        <f t="shared" si="1"/>
        <v>#N/A</v>
      </c>
      <c r="H26" s="194"/>
      <c r="I26" s="220" t="e">
        <f t="shared" si="0"/>
        <v>#N/A</v>
      </c>
    </row>
    <row r="27" spans="1:13" ht="19.5" customHeight="1" x14ac:dyDescent="0.2">
      <c r="A27" s="167" t="s">
        <v>223</v>
      </c>
      <c r="B27" s="95"/>
      <c r="C27" s="176"/>
      <c r="D27" s="96"/>
      <c r="E27" s="183" t="e">
        <f>VLOOKUP(B$7,Total!K$7:Q$85,5,FALSE)</f>
        <v>#N/A</v>
      </c>
      <c r="F27" s="178"/>
      <c r="G27" s="183" t="e">
        <f t="shared" si="1"/>
        <v>#N/A</v>
      </c>
      <c r="H27" s="196"/>
      <c r="I27" s="220" t="e">
        <f t="shared" si="0"/>
        <v>#N/A</v>
      </c>
    </row>
    <row r="28" spans="1:13" ht="19.5" customHeight="1" x14ac:dyDescent="0.2">
      <c r="A28" s="180" t="s">
        <v>224</v>
      </c>
      <c r="B28" s="181"/>
      <c r="C28" s="182"/>
      <c r="D28" s="183"/>
      <c r="E28" s="183" t="e">
        <f>VLOOKUP(B$7,Total!K$7:Q$85,6,FALSE)</f>
        <v>#N/A</v>
      </c>
      <c r="F28" s="184"/>
      <c r="G28" s="183" t="e">
        <f t="shared" si="1"/>
        <v>#N/A</v>
      </c>
      <c r="H28" s="194"/>
      <c r="I28" s="220" t="e">
        <f t="shared" si="0"/>
        <v>#N/A</v>
      </c>
    </row>
    <row r="29" spans="1:13" ht="19.5" customHeight="1" x14ac:dyDescent="0.2">
      <c r="A29" s="168" t="s">
        <v>315</v>
      </c>
      <c r="B29" s="169"/>
      <c r="C29" s="177"/>
      <c r="D29" s="170"/>
      <c r="E29" s="185" t="e">
        <f>VLOOKUP(B$7,Total!K$7:Q$85,7,FALSE)</f>
        <v>#N/A</v>
      </c>
      <c r="F29" s="186"/>
      <c r="G29" s="185" t="e">
        <f t="shared" si="1"/>
        <v>#N/A</v>
      </c>
      <c r="H29" s="198"/>
      <c r="I29" s="221" t="e">
        <f t="shared" si="0"/>
        <v>#N/A</v>
      </c>
    </row>
    <row r="30" spans="1:13" x14ac:dyDescent="0.2">
      <c r="A30" s="81"/>
      <c r="B30" s="81"/>
      <c r="C30" s="81"/>
      <c r="D30" s="81"/>
    </row>
    <row r="31" spans="1:13" x14ac:dyDescent="0.2">
      <c r="A31" s="81"/>
      <c r="B31" s="81"/>
      <c r="C31" s="81"/>
      <c r="D31" s="81"/>
    </row>
    <row r="32" spans="1:13" x14ac:dyDescent="0.2">
      <c r="A32" s="81"/>
      <c r="B32" s="81"/>
      <c r="C32" s="81"/>
      <c r="D32" s="81"/>
    </row>
    <row r="33" spans="1:4" x14ac:dyDescent="0.2">
      <c r="A33" s="81"/>
      <c r="B33" s="81"/>
      <c r="C33" s="81"/>
      <c r="D33" s="81"/>
    </row>
    <row r="34" spans="1:4" x14ac:dyDescent="0.2">
      <c r="A34" s="81"/>
      <c r="B34" s="81"/>
      <c r="C34" s="81"/>
      <c r="D34" s="81"/>
    </row>
    <row r="35" spans="1:4" x14ac:dyDescent="0.2">
      <c r="A35" s="81"/>
      <c r="B35" s="81"/>
      <c r="C35" s="81"/>
      <c r="D35" s="81"/>
    </row>
    <row r="36" spans="1:4" x14ac:dyDescent="0.2">
      <c r="A36" s="81"/>
      <c r="B36" s="81"/>
      <c r="C36" s="81"/>
      <c r="D36" s="81"/>
    </row>
    <row r="37" spans="1:4" x14ac:dyDescent="0.2">
      <c r="A37" s="81"/>
      <c r="B37" s="81"/>
      <c r="C37" s="81"/>
      <c r="D37" s="81"/>
    </row>
    <row r="38" spans="1:4" x14ac:dyDescent="0.2">
      <c r="A38" s="81"/>
      <c r="B38" s="81"/>
      <c r="C38" s="81"/>
      <c r="D38" s="81"/>
    </row>
    <row r="39" spans="1:4" x14ac:dyDescent="0.2">
      <c r="A39" s="81"/>
      <c r="B39" s="81"/>
      <c r="C39" s="81"/>
      <c r="D39" s="81"/>
    </row>
    <row r="40" spans="1:4" x14ac:dyDescent="0.2">
      <c r="A40" s="81"/>
      <c r="B40" s="81"/>
      <c r="C40" s="81"/>
      <c r="D40" s="81"/>
    </row>
    <row r="41" spans="1:4" x14ac:dyDescent="0.2">
      <c r="A41" s="81"/>
      <c r="B41" s="81"/>
      <c r="C41" s="81"/>
      <c r="D41" s="81"/>
    </row>
    <row r="42" spans="1:4" x14ac:dyDescent="0.2">
      <c r="A42" s="81"/>
      <c r="B42" s="81"/>
      <c r="C42" s="81"/>
      <c r="D42" s="81"/>
    </row>
    <row r="43" spans="1:4" hidden="1" x14ac:dyDescent="0.2">
      <c r="A43" s="81" t="s">
        <v>225</v>
      </c>
      <c r="B43" s="81"/>
      <c r="C43" s="81"/>
      <c r="D43" s="81"/>
    </row>
    <row r="44" spans="1:4" hidden="1" x14ac:dyDescent="0.2">
      <c r="A44" s="81" t="s">
        <v>28</v>
      </c>
      <c r="B44" s="81"/>
      <c r="C44" s="81"/>
      <c r="D44" s="81"/>
    </row>
    <row r="45" spans="1:4" hidden="1" x14ac:dyDescent="0.2">
      <c r="A45" s="81" t="s">
        <v>46</v>
      </c>
      <c r="B45" s="81"/>
      <c r="C45" s="81"/>
      <c r="D45" s="81"/>
    </row>
    <row r="46" spans="1:4" hidden="1" x14ac:dyDescent="0.2">
      <c r="A46" s="81" t="s">
        <v>79</v>
      </c>
      <c r="B46" s="81"/>
      <c r="C46" s="81"/>
      <c r="D46" s="81"/>
    </row>
    <row r="47" spans="1:4" hidden="1" x14ac:dyDescent="0.2">
      <c r="A47" s="81" t="s">
        <v>21</v>
      </c>
      <c r="B47" s="81"/>
      <c r="C47" s="81"/>
      <c r="D47" s="81"/>
    </row>
    <row r="48" spans="1:4" hidden="1" x14ac:dyDescent="0.2">
      <c r="A48" s="81" t="s">
        <v>40</v>
      </c>
      <c r="B48" s="81"/>
      <c r="C48" s="81"/>
      <c r="D48" s="81"/>
    </row>
    <row r="49" spans="1:4" hidden="1" x14ac:dyDescent="0.2">
      <c r="A49" s="81" t="s">
        <v>23</v>
      </c>
      <c r="B49" s="81"/>
      <c r="C49" s="81"/>
      <c r="D49" s="81"/>
    </row>
    <row r="50" spans="1:4" hidden="1" x14ac:dyDescent="0.2">
      <c r="A50" s="81" t="s">
        <v>49</v>
      </c>
      <c r="B50" s="81"/>
      <c r="C50" s="81"/>
      <c r="D50" s="81"/>
    </row>
    <row r="51" spans="1:4" hidden="1" x14ac:dyDescent="0.2">
      <c r="A51" s="81" t="s">
        <v>12</v>
      </c>
      <c r="B51" s="81"/>
      <c r="C51" s="81"/>
      <c r="D51" s="81"/>
    </row>
    <row r="52" spans="1:4" hidden="1" x14ac:dyDescent="0.2">
      <c r="A52" s="81" t="s">
        <v>22</v>
      </c>
      <c r="B52" s="81"/>
      <c r="C52" s="81"/>
      <c r="D52" s="81"/>
    </row>
    <row r="53" spans="1:4" hidden="1" x14ac:dyDescent="0.2">
      <c r="A53" s="81" t="s">
        <v>35</v>
      </c>
      <c r="B53" s="81"/>
      <c r="C53" s="81"/>
      <c r="D53" s="81"/>
    </row>
    <row r="54" spans="1:4" hidden="1" x14ac:dyDescent="0.2">
      <c r="A54" s="81" t="s">
        <v>64</v>
      </c>
      <c r="B54" s="81"/>
      <c r="C54" s="81"/>
      <c r="D54" s="81"/>
    </row>
    <row r="55" spans="1:4" hidden="1" x14ac:dyDescent="0.2">
      <c r="A55" s="81" t="s">
        <v>72</v>
      </c>
      <c r="B55" s="81"/>
      <c r="C55" s="81"/>
      <c r="D55" s="81"/>
    </row>
    <row r="56" spans="1:4" hidden="1" x14ac:dyDescent="0.2">
      <c r="A56" s="81" t="s">
        <v>24</v>
      </c>
      <c r="B56" s="81"/>
      <c r="C56" s="81"/>
      <c r="D56" s="81"/>
    </row>
    <row r="57" spans="1:4" hidden="1" x14ac:dyDescent="0.2">
      <c r="A57" s="81" t="s">
        <v>58</v>
      </c>
      <c r="B57" s="81"/>
      <c r="C57" s="81"/>
      <c r="D57" s="81"/>
    </row>
    <row r="58" spans="1:4" hidden="1" x14ac:dyDescent="0.2">
      <c r="A58" s="81" t="s">
        <v>15</v>
      </c>
      <c r="B58" s="81"/>
      <c r="C58" s="81"/>
      <c r="D58" s="81"/>
    </row>
    <row r="59" spans="1:4" hidden="1" x14ac:dyDescent="0.2">
      <c r="A59" s="81" t="s">
        <v>29</v>
      </c>
      <c r="B59" s="81"/>
      <c r="C59" s="81"/>
      <c r="D59" s="81"/>
    </row>
    <row r="60" spans="1:4" hidden="1" x14ac:dyDescent="0.2">
      <c r="A60" s="81" t="s">
        <v>55</v>
      </c>
      <c r="B60" s="81"/>
      <c r="C60" s="81"/>
      <c r="D60" s="81"/>
    </row>
    <row r="61" spans="1:4" hidden="1" x14ac:dyDescent="0.2">
      <c r="A61" s="81" t="s">
        <v>71</v>
      </c>
      <c r="B61" s="81"/>
      <c r="C61" s="81"/>
      <c r="D61" s="81"/>
    </row>
    <row r="62" spans="1:4" hidden="1" x14ac:dyDescent="0.2">
      <c r="A62" s="81" t="s">
        <v>43</v>
      </c>
      <c r="B62" s="81"/>
      <c r="C62" s="81"/>
      <c r="D62" s="81"/>
    </row>
    <row r="63" spans="1:4" hidden="1" x14ac:dyDescent="0.2">
      <c r="A63" s="81" t="s">
        <v>81</v>
      </c>
      <c r="B63" s="81"/>
      <c r="C63" s="81"/>
      <c r="D63" s="81"/>
    </row>
    <row r="64" spans="1:4" hidden="1" x14ac:dyDescent="0.2">
      <c r="A64" s="81" t="s">
        <v>33</v>
      </c>
      <c r="B64" s="81"/>
      <c r="C64" s="81"/>
      <c r="D64" s="81"/>
    </row>
    <row r="65" spans="1:4" hidden="1" x14ac:dyDescent="0.2">
      <c r="A65" s="81" t="s">
        <v>10</v>
      </c>
      <c r="B65" s="81"/>
      <c r="C65" s="81"/>
      <c r="D65" s="81"/>
    </row>
    <row r="66" spans="1:4" hidden="1" x14ac:dyDescent="0.2">
      <c r="A66" s="81" t="s">
        <v>51</v>
      </c>
      <c r="B66" s="81"/>
      <c r="C66" s="81"/>
      <c r="D66" s="81"/>
    </row>
    <row r="67" spans="1:4" hidden="1" x14ac:dyDescent="0.2">
      <c r="A67" s="81" t="s">
        <v>78</v>
      </c>
      <c r="B67" s="81"/>
      <c r="C67" s="81"/>
      <c r="D67" s="81"/>
    </row>
    <row r="68" spans="1:4" hidden="1" x14ac:dyDescent="0.2">
      <c r="A68" s="81" t="s">
        <v>34</v>
      </c>
      <c r="B68" s="81"/>
      <c r="C68" s="81"/>
      <c r="D68" s="81"/>
    </row>
    <row r="69" spans="1:4" hidden="1" x14ac:dyDescent="0.2">
      <c r="A69" s="81" t="s">
        <v>7</v>
      </c>
      <c r="B69" s="81"/>
      <c r="C69" s="81"/>
      <c r="D69" s="81"/>
    </row>
    <row r="70" spans="1:4" hidden="1" x14ac:dyDescent="0.2">
      <c r="A70" s="81" t="s">
        <v>63</v>
      </c>
      <c r="B70" s="81"/>
      <c r="C70" s="81"/>
      <c r="D70" s="81"/>
    </row>
    <row r="71" spans="1:4" hidden="1" x14ac:dyDescent="0.2">
      <c r="A71" s="81" t="s">
        <v>68</v>
      </c>
      <c r="B71" s="81"/>
      <c r="C71" s="81"/>
      <c r="D71" s="81"/>
    </row>
    <row r="72" spans="1:4" hidden="1" x14ac:dyDescent="0.2">
      <c r="A72" s="81" t="s">
        <v>50</v>
      </c>
      <c r="B72" s="81"/>
      <c r="C72" s="81"/>
      <c r="D72" s="81"/>
    </row>
    <row r="73" spans="1:4" hidden="1" x14ac:dyDescent="0.2">
      <c r="A73" s="81" t="s">
        <v>67</v>
      </c>
      <c r="B73" s="81"/>
      <c r="C73" s="81"/>
      <c r="D73" s="81"/>
    </row>
    <row r="74" spans="1:4" hidden="1" x14ac:dyDescent="0.2">
      <c r="A74" s="81" t="s">
        <v>60</v>
      </c>
      <c r="B74" s="81"/>
      <c r="C74" s="81"/>
      <c r="D74" s="81"/>
    </row>
    <row r="75" spans="1:4" hidden="1" x14ac:dyDescent="0.2">
      <c r="A75" s="81" t="s">
        <v>65</v>
      </c>
      <c r="B75" s="81"/>
      <c r="C75" s="81"/>
      <c r="D75" s="81"/>
    </row>
    <row r="76" spans="1:4" hidden="1" x14ac:dyDescent="0.2">
      <c r="A76" s="81" t="s">
        <v>27</v>
      </c>
      <c r="B76" s="81"/>
      <c r="C76" s="81"/>
      <c r="D76" s="81"/>
    </row>
    <row r="77" spans="1:4" hidden="1" x14ac:dyDescent="0.2">
      <c r="A77" s="81" t="s">
        <v>42</v>
      </c>
      <c r="B77" s="81"/>
      <c r="C77" s="81"/>
      <c r="D77" s="81"/>
    </row>
    <row r="78" spans="1:4" hidden="1" x14ac:dyDescent="0.2">
      <c r="A78" s="81" t="s">
        <v>9</v>
      </c>
      <c r="B78" s="81"/>
      <c r="C78" s="81"/>
      <c r="D78" s="81"/>
    </row>
    <row r="79" spans="1:4" hidden="1" x14ac:dyDescent="0.2">
      <c r="A79" s="81" t="s">
        <v>66</v>
      </c>
      <c r="B79" s="81"/>
      <c r="C79" s="81"/>
      <c r="D79" s="81"/>
    </row>
    <row r="80" spans="1:4" hidden="1" x14ac:dyDescent="0.2">
      <c r="A80" s="81" t="s">
        <v>8</v>
      </c>
      <c r="B80" s="81"/>
      <c r="C80" s="81"/>
      <c r="D80" s="81"/>
    </row>
    <row r="81" spans="1:4" hidden="1" x14ac:dyDescent="0.2">
      <c r="A81" s="81" t="s">
        <v>62</v>
      </c>
      <c r="B81" s="81"/>
      <c r="C81" s="81"/>
      <c r="D81" s="81"/>
    </row>
    <row r="82" spans="1:4" hidden="1" x14ac:dyDescent="0.2">
      <c r="A82" s="81" t="s">
        <v>57</v>
      </c>
      <c r="B82" s="81"/>
      <c r="C82" s="81"/>
      <c r="D82" s="81"/>
    </row>
    <row r="83" spans="1:4" hidden="1" x14ac:dyDescent="0.2">
      <c r="A83" s="81" t="s">
        <v>76</v>
      </c>
      <c r="B83" s="81"/>
      <c r="C83" s="81"/>
      <c r="D83" s="81"/>
    </row>
    <row r="84" spans="1:4" hidden="1" x14ac:dyDescent="0.2">
      <c r="A84" s="81" t="s">
        <v>77</v>
      </c>
      <c r="B84" s="81"/>
      <c r="C84" s="81"/>
      <c r="D84" s="81"/>
    </row>
    <row r="85" spans="1:4" hidden="1" x14ac:dyDescent="0.2">
      <c r="A85" s="81" t="s">
        <v>75</v>
      </c>
      <c r="B85" s="81"/>
      <c r="C85" s="81"/>
      <c r="D85" s="81"/>
    </row>
    <row r="86" spans="1:4" hidden="1" x14ac:dyDescent="0.2">
      <c r="A86" s="81" t="s">
        <v>61</v>
      </c>
      <c r="B86" s="81"/>
      <c r="C86" s="81"/>
      <c r="D86" s="81"/>
    </row>
    <row r="87" spans="1:4" hidden="1" x14ac:dyDescent="0.2">
      <c r="A87" s="81" t="s">
        <v>30</v>
      </c>
      <c r="B87" s="81"/>
      <c r="C87" s="81"/>
      <c r="D87" s="81"/>
    </row>
    <row r="88" spans="1:4" hidden="1" x14ac:dyDescent="0.2">
      <c r="A88" s="81" t="s">
        <v>69</v>
      </c>
      <c r="B88" s="81"/>
      <c r="C88" s="81"/>
      <c r="D88" s="81"/>
    </row>
    <row r="89" spans="1:4" hidden="1" x14ac:dyDescent="0.2">
      <c r="A89" s="81" t="s">
        <v>41</v>
      </c>
      <c r="B89" s="81"/>
      <c r="C89" s="81"/>
      <c r="D89" s="81"/>
    </row>
    <row r="90" spans="1:4" hidden="1" x14ac:dyDescent="0.2">
      <c r="A90" s="81" t="s">
        <v>45</v>
      </c>
      <c r="B90" s="81"/>
      <c r="C90" s="81"/>
      <c r="D90" s="81"/>
    </row>
    <row r="91" spans="1:4" hidden="1" x14ac:dyDescent="0.2">
      <c r="A91" s="81" t="s">
        <v>54</v>
      </c>
      <c r="B91" s="81"/>
      <c r="C91" s="81"/>
      <c r="D91" s="81"/>
    </row>
    <row r="92" spans="1:4" hidden="1" x14ac:dyDescent="0.2">
      <c r="A92" s="81" t="s">
        <v>26</v>
      </c>
      <c r="B92" s="81"/>
      <c r="C92" s="81"/>
      <c r="D92" s="81"/>
    </row>
    <row r="93" spans="1:4" hidden="1" x14ac:dyDescent="0.2">
      <c r="A93" s="81" t="s">
        <v>19</v>
      </c>
      <c r="B93" s="81"/>
      <c r="C93" s="81"/>
      <c r="D93" s="81"/>
    </row>
    <row r="94" spans="1:4" hidden="1" x14ac:dyDescent="0.2">
      <c r="A94" s="81" t="s">
        <v>17</v>
      </c>
      <c r="B94" s="81"/>
      <c r="C94" s="81"/>
      <c r="D94" s="81"/>
    </row>
    <row r="95" spans="1:4" hidden="1" x14ac:dyDescent="0.2">
      <c r="A95" s="81" t="s">
        <v>16</v>
      </c>
      <c r="B95" s="81"/>
      <c r="C95" s="81"/>
      <c r="D95" s="81"/>
    </row>
    <row r="96" spans="1:4" hidden="1" x14ac:dyDescent="0.2">
      <c r="A96" s="81" t="s">
        <v>31</v>
      </c>
      <c r="B96" s="81"/>
      <c r="C96" s="81"/>
      <c r="D96" s="81"/>
    </row>
    <row r="97" spans="1:4" hidden="1" x14ac:dyDescent="0.2">
      <c r="A97" s="81" t="s">
        <v>38</v>
      </c>
      <c r="B97" s="81"/>
      <c r="C97" s="81"/>
      <c r="D97" s="81"/>
    </row>
    <row r="98" spans="1:4" hidden="1" x14ac:dyDescent="0.2">
      <c r="A98" s="81" t="s">
        <v>48</v>
      </c>
      <c r="B98" s="81"/>
      <c r="C98" s="81"/>
      <c r="D98" s="81"/>
    </row>
    <row r="99" spans="1:4" hidden="1" x14ac:dyDescent="0.2">
      <c r="A99" s="81" t="s">
        <v>53</v>
      </c>
      <c r="B99" s="81"/>
      <c r="C99" s="81"/>
      <c r="D99" s="81"/>
    </row>
    <row r="100" spans="1:4" hidden="1" x14ac:dyDescent="0.2">
      <c r="A100" s="81" t="s">
        <v>32</v>
      </c>
      <c r="B100" s="81"/>
      <c r="C100" s="81"/>
      <c r="D100" s="81"/>
    </row>
    <row r="101" spans="1:4" hidden="1" x14ac:dyDescent="0.2">
      <c r="A101" s="81" t="s">
        <v>36</v>
      </c>
      <c r="B101" s="81"/>
      <c r="C101" s="81"/>
      <c r="D101" s="81"/>
    </row>
    <row r="102" spans="1:4" hidden="1" x14ac:dyDescent="0.2">
      <c r="A102" s="81" t="s">
        <v>5</v>
      </c>
      <c r="B102" s="81"/>
      <c r="C102" s="81"/>
      <c r="D102" s="81"/>
    </row>
    <row r="103" spans="1:4" hidden="1" x14ac:dyDescent="0.2">
      <c r="A103" s="81" t="s">
        <v>20</v>
      </c>
      <c r="B103" s="81"/>
      <c r="C103" s="81"/>
      <c r="D103" s="81"/>
    </row>
    <row r="104" spans="1:4" hidden="1" x14ac:dyDescent="0.2">
      <c r="A104" s="81" t="s">
        <v>11</v>
      </c>
      <c r="B104" s="81"/>
      <c r="C104" s="81"/>
      <c r="D104" s="81"/>
    </row>
    <row r="105" spans="1:4" hidden="1" x14ac:dyDescent="0.2">
      <c r="A105" s="81" t="s">
        <v>18</v>
      </c>
      <c r="B105" s="81"/>
      <c r="C105" s="81"/>
      <c r="D105" s="81"/>
    </row>
    <row r="106" spans="1:4" hidden="1" x14ac:dyDescent="0.2">
      <c r="A106" s="81" t="s">
        <v>13</v>
      </c>
      <c r="B106" s="81"/>
      <c r="C106" s="81"/>
      <c r="D106" s="81"/>
    </row>
    <row r="107" spans="1:4" hidden="1" x14ac:dyDescent="0.2">
      <c r="A107" s="81" t="s">
        <v>14</v>
      </c>
      <c r="B107" s="81"/>
      <c r="C107" s="81"/>
      <c r="D107" s="81"/>
    </row>
    <row r="108" spans="1:4" hidden="1" x14ac:dyDescent="0.2">
      <c r="A108" s="81" t="s">
        <v>52</v>
      </c>
      <c r="B108" s="81"/>
      <c r="C108" s="81"/>
      <c r="D108" s="81"/>
    </row>
    <row r="109" spans="1:4" hidden="1" x14ac:dyDescent="0.2">
      <c r="A109" s="81" t="s">
        <v>70</v>
      </c>
      <c r="B109" s="81"/>
      <c r="C109" s="81"/>
      <c r="D109" s="81"/>
    </row>
    <row r="110" spans="1:4" hidden="1" x14ac:dyDescent="0.2">
      <c r="A110" s="81" t="s">
        <v>39</v>
      </c>
      <c r="B110" s="81"/>
      <c r="C110" s="81"/>
      <c r="D110" s="81"/>
    </row>
    <row r="111" spans="1:4" hidden="1" x14ac:dyDescent="0.2">
      <c r="A111" s="81" t="s">
        <v>80</v>
      </c>
      <c r="B111" s="81"/>
      <c r="C111" s="81"/>
      <c r="D111" s="81"/>
    </row>
    <row r="112" spans="1:4" hidden="1" x14ac:dyDescent="0.2">
      <c r="A112" s="81" t="s">
        <v>44</v>
      </c>
      <c r="B112" s="81"/>
      <c r="C112" s="81"/>
      <c r="D112" s="81"/>
    </row>
    <row r="113" spans="1:4" hidden="1" x14ac:dyDescent="0.2">
      <c r="A113" s="81" t="s">
        <v>37</v>
      </c>
      <c r="B113" s="81"/>
      <c r="C113" s="81"/>
      <c r="D113" s="81"/>
    </row>
    <row r="114" spans="1:4" hidden="1" x14ac:dyDescent="0.2">
      <c r="A114" s="81" t="s">
        <v>59</v>
      </c>
      <c r="B114" s="81"/>
      <c r="C114" s="81"/>
      <c r="D114" s="81"/>
    </row>
    <row r="115" spans="1:4" hidden="1" x14ac:dyDescent="0.2">
      <c r="A115" s="81" t="s">
        <v>47</v>
      </c>
      <c r="B115" s="81"/>
      <c r="C115" s="81"/>
      <c r="D115" s="81"/>
    </row>
    <row r="116" spans="1:4" hidden="1" x14ac:dyDescent="0.2">
      <c r="A116" s="81" t="s">
        <v>25</v>
      </c>
      <c r="B116" s="81"/>
      <c r="C116" s="81"/>
      <c r="D116" s="81"/>
    </row>
    <row r="117" spans="1:4" hidden="1" x14ac:dyDescent="0.2">
      <c r="A117" s="81" t="s">
        <v>73</v>
      </c>
      <c r="B117" s="81"/>
      <c r="C117" s="81"/>
      <c r="D117" s="81"/>
    </row>
    <row r="118" spans="1:4" hidden="1" x14ac:dyDescent="0.2">
      <c r="A118" s="81" t="s">
        <v>56</v>
      </c>
      <c r="B118" s="81"/>
      <c r="C118" s="81"/>
      <c r="D118" s="81"/>
    </row>
    <row r="119" spans="1:4" hidden="1" x14ac:dyDescent="0.2">
      <c r="A119" s="81" t="s">
        <v>6</v>
      </c>
      <c r="B119" s="81"/>
      <c r="C119" s="81"/>
      <c r="D119" s="81"/>
    </row>
    <row r="120" spans="1:4" hidden="1" x14ac:dyDescent="0.2">
      <c r="A120" s="81" t="s">
        <v>74</v>
      </c>
      <c r="B120" s="81"/>
      <c r="C120" s="81"/>
      <c r="D120" s="81"/>
    </row>
    <row r="121" spans="1:4" x14ac:dyDescent="0.2">
      <c r="A121" s="81"/>
      <c r="B121" s="81"/>
      <c r="C121" s="81"/>
      <c r="D121" s="81"/>
    </row>
    <row r="122" spans="1:4" x14ac:dyDescent="0.2">
      <c r="A122" s="81"/>
      <c r="B122" s="81"/>
      <c r="C122" s="81"/>
      <c r="D122" s="81"/>
    </row>
    <row r="123" spans="1:4" x14ac:dyDescent="0.2">
      <c r="A123" s="81"/>
      <c r="B123" s="81"/>
      <c r="C123" s="81"/>
      <c r="D123" s="81"/>
    </row>
    <row r="124" spans="1:4" x14ac:dyDescent="0.2">
      <c r="A124" s="81"/>
      <c r="B124" s="81"/>
      <c r="C124" s="81"/>
      <c r="D124" s="81"/>
    </row>
    <row r="125" spans="1:4" x14ac:dyDescent="0.2">
      <c r="A125" s="81"/>
      <c r="B125" s="81"/>
      <c r="C125" s="81"/>
      <c r="D125" s="81"/>
    </row>
    <row r="126" spans="1:4" x14ac:dyDescent="0.2">
      <c r="A126" s="81"/>
      <c r="B126" s="81"/>
      <c r="C126" s="81"/>
      <c r="D126" s="81"/>
    </row>
    <row r="127" spans="1:4" x14ac:dyDescent="0.2">
      <c r="A127" s="81"/>
      <c r="B127" s="81"/>
      <c r="C127" s="81"/>
      <c r="D127" s="81"/>
    </row>
    <row r="128" spans="1:4" x14ac:dyDescent="0.2">
      <c r="A128" s="81"/>
      <c r="B128" s="81"/>
      <c r="C128" s="81"/>
      <c r="D128" s="81"/>
    </row>
    <row r="129" spans="1:4" x14ac:dyDescent="0.2">
      <c r="A129" s="81"/>
      <c r="B129" s="81"/>
      <c r="C129" s="81"/>
      <c r="D129" s="81"/>
    </row>
    <row r="130" spans="1:4" x14ac:dyDescent="0.2">
      <c r="A130" s="81"/>
      <c r="B130" s="81"/>
      <c r="C130" s="81"/>
      <c r="D130" s="81"/>
    </row>
    <row r="131" spans="1:4" x14ac:dyDescent="0.2">
      <c r="A131" s="81"/>
      <c r="B131" s="81"/>
      <c r="C131" s="81"/>
      <c r="D131" s="81"/>
    </row>
    <row r="132" spans="1:4" x14ac:dyDescent="0.2">
      <c r="A132" s="81"/>
      <c r="B132" s="81"/>
      <c r="C132" s="81"/>
      <c r="D132" s="81"/>
    </row>
    <row r="133" spans="1:4" x14ac:dyDescent="0.2">
      <c r="A133" s="81"/>
      <c r="B133" s="81"/>
      <c r="C133" s="81"/>
      <c r="D133" s="81"/>
    </row>
    <row r="134" spans="1:4" x14ac:dyDescent="0.2">
      <c r="A134" s="81"/>
      <c r="B134" s="81"/>
      <c r="C134" s="81"/>
      <c r="D134" s="81"/>
    </row>
  </sheetData>
  <sheetProtection algorithmName="SHA-512" hashValue="bJJMOxpvZs+0Gqsfv6AmbXiIOFBGgke1pjB0PgwOi6FshcU+P34FM40W/ztPucGfOXTCk7jbXWmrUr/f6t/zqw==" saltValue="qg8ffjIROYFJfQWilJ7aew==" spinCount="100000" sheet="1" selectLockedCells="1"/>
  <mergeCells count="1">
    <mergeCell ref="B7:E7"/>
  </mergeCells>
  <dataValidations count="1">
    <dataValidation type="list" allowBlank="1" showInputMessage="1" showErrorMessage="1" sqref="B7">
      <formula1>$A$43:$A$120</formula1>
    </dataValidation>
  </dataValidations>
  <hyperlinks>
    <hyperlink ref="C13" location="'Details Ressourcenausgleich'!A1" display="Details"/>
    <hyperlink ref="C14" location="'Details SL Weite'!A1" display="Details"/>
    <hyperlink ref="C16" location="'Details SL Sozio'!A1" display="Details"/>
    <hyperlink ref="C17" location="'Details SL Stadt SG'!A1" display="Details"/>
    <hyperlink ref="C15" location="'Details SL Schule'!A1" display="Details"/>
  </hyperlinks>
  <pageMargins left="0.31496062992125984" right="0.31496062992125984" top="0.39370078740157483" bottom="0.59055118110236227" header="0.31496062992125984" footer="0.31496062992125984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52"/>
  <sheetViews>
    <sheetView showGridLines="0" workbookViewId="0">
      <selection activeCell="A172" sqref="A172"/>
    </sheetView>
  </sheetViews>
  <sheetFormatPr baseColWidth="10" defaultRowHeight="12.75" x14ac:dyDescent="0.2"/>
  <cols>
    <col min="1" max="1" width="4.140625" bestFit="1" customWidth="1"/>
    <col min="2" max="2" width="41.5703125" customWidth="1"/>
    <col min="3" max="3" width="22.42578125" customWidth="1"/>
    <col min="4" max="4" width="22.42578125" bestFit="1" customWidth="1"/>
  </cols>
  <sheetData>
    <row r="1" spans="1:4" x14ac:dyDescent="0.2">
      <c r="A1" s="83" t="s">
        <v>217</v>
      </c>
    </row>
    <row r="2" spans="1:4" x14ac:dyDescent="0.2">
      <c r="A2" t="s">
        <v>218</v>
      </c>
    </row>
    <row r="5" spans="1:4" ht="26.25" x14ac:dyDescent="0.4">
      <c r="A5" s="18" t="s">
        <v>121</v>
      </c>
      <c r="B5" s="3"/>
    </row>
    <row r="6" spans="1:4" x14ac:dyDescent="0.2">
      <c r="A6" s="3"/>
      <c r="B6" s="3"/>
    </row>
    <row r="7" spans="1:4" x14ac:dyDescent="0.2">
      <c r="A7" s="3"/>
      <c r="B7" s="20" t="s">
        <v>226</v>
      </c>
    </row>
    <row r="8" spans="1:4" s="84" customFormat="1" x14ac:dyDescent="0.2">
      <c r="A8" s="38"/>
      <c r="B8" s="38"/>
    </row>
    <row r="9" spans="1:4" x14ac:dyDescent="0.2">
      <c r="A9" s="21"/>
      <c r="B9" s="21"/>
      <c r="C9" s="91" t="s">
        <v>82</v>
      </c>
      <c r="D9" s="91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102</v>
      </c>
      <c r="B11" s="23" t="s">
        <v>100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25" t="s">
        <v>164</v>
      </c>
      <c r="B13" s="26" t="s">
        <v>4</v>
      </c>
      <c r="C13" s="27"/>
      <c r="D13" s="27"/>
    </row>
    <row r="14" spans="1:4" x14ac:dyDescent="0.2">
      <c r="A14" s="3"/>
      <c r="B14" s="28" t="s">
        <v>91</v>
      </c>
      <c r="C14" s="90">
        <f>HLOOKUP(C$9,'Ressourcenausgleich Basis'!$C$8:$CB$151,6,FALSE)</f>
        <v>1.1772463050842656</v>
      </c>
      <c r="D14" s="93" t="e">
        <f>HLOOKUP(D$9,'Ressourcenausgleich Basis'!$C$8:$CB$151,6,FALSE)</f>
        <v>#N/A</v>
      </c>
    </row>
    <row r="15" spans="1:4" x14ac:dyDescent="0.2">
      <c r="A15" s="30"/>
      <c r="B15" s="31"/>
      <c r="C15" s="89"/>
      <c r="D15" s="29"/>
    </row>
    <row r="16" spans="1:4" x14ac:dyDescent="0.2">
      <c r="A16" s="3"/>
      <c r="B16" s="33" t="s">
        <v>97</v>
      </c>
      <c r="C16" s="74">
        <f>HLOOKUP(C$9,'Ressourcenausgleich Basis'!$C$8:$CB$151,8,FALSE)</f>
        <v>1116160423.6399999</v>
      </c>
      <c r="D16" s="85" t="e">
        <f>HLOOKUP(D$9,'Ressourcenausgleich Basis'!$C$8:$CB$151,8,FALSE)</f>
        <v>#N/A</v>
      </c>
    </row>
    <row r="17" spans="1:4" x14ac:dyDescent="0.2">
      <c r="A17" s="3"/>
      <c r="B17" s="33" t="s">
        <v>89</v>
      </c>
      <c r="C17" s="74">
        <f>HLOOKUP(C$9,'Ressourcenausgleich Basis'!$C$8:$CB$151,9,FALSE)</f>
        <v>5811359.9321428565</v>
      </c>
      <c r="D17" s="85" t="e">
        <f>HLOOKUP(D$9,'Ressourcenausgleich Basis'!$C$8:$CB$151,9,FALSE)</f>
        <v>#N/A</v>
      </c>
    </row>
    <row r="18" spans="1:4" x14ac:dyDescent="0.2">
      <c r="A18" s="3"/>
      <c r="B18" s="33" t="s">
        <v>98</v>
      </c>
      <c r="C18" s="74">
        <f>HLOOKUP(C$9,'Ressourcenausgleich Basis'!$C$8:$CB$151,10,FALSE)</f>
        <v>1110349063.7078569</v>
      </c>
      <c r="D18" s="86" t="e">
        <f>HLOOKUP(D$9,'Ressourcenausgleich Basis'!$C$8:$CB$151,10,FALSE)</f>
        <v>#N/A</v>
      </c>
    </row>
    <row r="19" spans="1:4" x14ac:dyDescent="0.2">
      <c r="A19" s="3"/>
      <c r="B19" s="33"/>
      <c r="C19" s="89"/>
      <c r="D19" s="29"/>
    </row>
    <row r="20" spans="1:4" x14ac:dyDescent="0.2">
      <c r="A20" s="3"/>
      <c r="B20" s="33" t="s">
        <v>99</v>
      </c>
      <c r="C20" s="5">
        <f>HLOOKUP(C$9,'Ressourcenausgleich Basis'!$C$8:$CB$151,12,FALSE)</f>
        <v>1307154332.6038485</v>
      </c>
      <c r="D20" s="12" t="e">
        <f>HLOOKUP($D$9,'Ressourcenausgleich Basis'!$C$8:$CB$151,12,FALSE)</f>
        <v>#N/A</v>
      </c>
    </row>
    <row r="21" spans="1:4" x14ac:dyDescent="0.2">
      <c r="A21" s="3"/>
      <c r="B21" s="33"/>
      <c r="C21" s="38"/>
      <c r="D21" s="3"/>
    </row>
    <row r="22" spans="1:4" x14ac:dyDescent="0.2">
      <c r="A22" s="21"/>
      <c r="B22" s="21" t="s">
        <v>92</v>
      </c>
      <c r="C22" s="34">
        <f>HLOOKUP(C$9,'Ressourcenausgleich Basis'!$C$8:$CB$151,14,FALSE)</f>
        <v>1307154332.6038485</v>
      </c>
      <c r="D22" s="34" t="e">
        <f>HLOOKUP($D$9,'Ressourcenausgleich Basis'!$C$8:$CB$151,14,FALSE)</f>
        <v>#N/A</v>
      </c>
    </row>
    <row r="23" spans="1:4" x14ac:dyDescent="0.2">
      <c r="A23" s="3"/>
      <c r="B23" s="33"/>
      <c r="C23" s="3"/>
      <c r="D23" s="3"/>
    </row>
    <row r="24" spans="1:4" x14ac:dyDescent="0.2">
      <c r="A24" s="35" t="s">
        <v>165</v>
      </c>
      <c r="B24" s="26" t="s">
        <v>0</v>
      </c>
      <c r="C24" s="35"/>
      <c r="D24" s="35"/>
    </row>
    <row r="25" spans="1:4" x14ac:dyDescent="0.2">
      <c r="A25" s="3"/>
      <c r="B25" s="30" t="s">
        <v>84</v>
      </c>
      <c r="C25" s="1">
        <f>HLOOKUP(C$9,'Ressourcenausgleich Basis'!$C$8:$CB$151,17,FALSE)</f>
        <v>66277132.25</v>
      </c>
      <c r="D25" s="9" t="e">
        <f>HLOOKUP(D$9,'Ressourcenausgleich Basis'!$C$8:$CB$151,17,FALSE)</f>
        <v>#N/A</v>
      </c>
    </row>
    <row r="26" spans="1:4" x14ac:dyDescent="0.2">
      <c r="A26" s="3"/>
      <c r="B26" s="30" t="s">
        <v>89</v>
      </c>
      <c r="C26" s="1">
        <f>HLOOKUP(C$9,'Ressourcenausgleich Basis'!$C$8:$CB$151,18,FALSE)</f>
        <v>545380.6399999999</v>
      </c>
      <c r="D26" s="9" t="e">
        <f>HLOOKUP(D$9,'Ressourcenausgleich Basis'!$C$8:$CB$151,18,FALSE)</f>
        <v>#N/A</v>
      </c>
    </row>
    <row r="27" spans="1:4" x14ac:dyDescent="0.2">
      <c r="A27" s="21"/>
      <c r="B27" s="32" t="s">
        <v>93</v>
      </c>
      <c r="C27" s="15">
        <f>HLOOKUP(C$9,'Ressourcenausgleich Basis'!$C$8:$CB$151,19,FALSE)</f>
        <v>65731751.610000007</v>
      </c>
      <c r="D27" s="34" t="e">
        <f>HLOOKUP(D$9,'Ressourcenausgleich Basis'!$C$8:$CB$151,19,FALSE)</f>
        <v>#N/A</v>
      </c>
    </row>
    <row r="28" spans="1:4" x14ac:dyDescent="0.2">
      <c r="A28" s="3"/>
      <c r="B28" s="30"/>
      <c r="C28" s="3"/>
      <c r="D28" s="3"/>
    </row>
    <row r="29" spans="1:4" x14ac:dyDescent="0.2">
      <c r="A29" s="35" t="s">
        <v>166</v>
      </c>
      <c r="B29" s="26" t="s">
        <v>1</v>
      </c>
      <c r="C29" s="35"/>
      <c r="D29" s="35"/>
    </row>
    <row r="30" spans="1:4" x14ac:dyDescent="0.2">
      <c r="A30" s="3"/>
      <c r="B30" s="30" t="s">
        <v>84</v>
      </c>
      <c r="C30" s="1">
        <f>HLOOKUP(C$9,'Ressourcenausgleich Basis'!$C$8:$CB$151,22,FALSE)</f>
        <v>211073631.70000002</v>
      </c>
      <c r="D30" s="9" t="e">
        <f>HLOOKUP(D$9,'Ressourcenausgleich Basis'!$C$8:$CB$151,22,FALSE)</f>
        <v>#N/A</v>
      </c>
    </row>
    <row r="31" spans="1:4" x14ac:dyDescent="0.2">
      <c r="A31" s="3"/>
      <c r="B31" s="30" t="s">
        <v>89</v>
      </c>
      <c r="C31" s="1">
        <f>HLOOKUP(C$9,'Ressourcenausgleich Basis'!$C$8:$CB$151,23,FALSE)</f>
        <v>687408.5499999997</v>
      </c>
      <c r="D31" s="9" t="e">
        <f>HLOOKUP(D$9,'Ressourcenausgleich Basis'!$C$8:$CB$151,23,FALSE)</f>
        <v>#N/A</v>
      </c>
    </row>
    <row r="32" spans="1:4" x14ac:dyDescent="0.2">
      <c r="A32" s="38"/>
      <c r="B32" s="30" t="s">
        <v>90</v>
      </c>
      <c r="C32" s="1">
        <f>HLOOKUP(C$9,'Ressourcenausgleich Basis'!$C$8:$CB$151,24,FALSE)</f>
        <v>1291999.6000000001</v>
      </c>
      <c r="D32" s="9" t="e">
        <f>HLOOKUP(D$9,'Ressourcenausgleich Basis'!$C$8:$CB$151,24,FALSE)</f>
        <v>#N/A</v>
      </c>
    </row>
    <row r="33" spans="1:4" x14ac:dyDescent="0.2">
      <c r="A33" s="21"/>
      <c r="B33" s="32" t="s">
        <v>93</v>
      </c>
      <c r="C33" s="15">
        <f>HLOOKUP(C$9,'Ressourcenausgleich Basis'!$C$8:$CB$151,25,FALSE)</f>
        <v>209094223.54999998</v>
      </c>
      <c r="D33" s="15" t="e">
        <f>HLOOKUP(D$9,'Ressourcenausgleich Basis'!$C$8:$CB$151,25,FALSE)</f>
        <v>#N/A</v>
      </c>
    </row>
    <row r="34" spans="1:4" x14ac:dyDescent="0.2">
      <c r="A34" s="3"/>
      <c r="B34" s="30"/>
      <c r="C34" s="3"/>
      <c r="D34" s="3"/>
    </row>
    <row r="35" spans="1:4" x14ac:dyDescent="0.2">
      <c r="A35" s="35" t="s">
        <v>167</v>
      </c>
      <c r="B35" s="26" t="s">
        <v>87</v>
      </c>
      <c r="C35" s="35"/>
      <c r="D35" s="35"/>
    </row>
    <row r="36" spans="1:4" x14ac:dyDescent="0.2">
      <c r="A36" s="3"/>
      <c r="B36" s="30" t="s">
        <v>94</v>
      </c>
      <c r="C36" s="1">
        <f>HLOOKUP(C$9,'Ressourcenausgleich Basis'!$C$8:$CB$151,28,FALSE)</f>
        <v>0.69965526329596772</v>
      </c>
      <c r="D36" s="9" t="e">
        <f>HLOOKUP(D$9,'Ressourcenausgleich Basis'!$C$8:$CB$151,28,FALSE)</f>
        <v>#N/A</v>
      </c>
    </row>
    <row r="37" spans="1:4" x14ac:dyDescent="0.2">
      <c r="A37" s="3"/>
      <c r="B37" s="40"/>
      <c r="C37" s="38"/>
      <c r="D37" s="3"/>
    </row>
    <row r="38" spans="1:4" x14ac:dyDescent="0.2">
      <c r="A38" s="3"/>
      <c r="B38" s="30" t="s">
        <v>84</v>
      </c>
      <c r="C38" s="1">
        <f>HLOOKUP(C$9,'Ressourcenausgleich Basis'!$C$8:$CB$151,30,FALSE)</f>
        <v>90580319.079999998</v>
      </c>
      <c r="D38" s="9" t="e">
        <f>HLOOKUP(D$9,'Ressourcenausgleich Basis'!$C$8:$CB$151,30,FALSE)</f>
        <v>#N/A</v>
      </c>
    </row>
    <row r="39" spans="1:4" x14ac:dyDescent="0.2">
      <c r="A39" s="3"/>
      <c r="B39" s="30" t="s">
        <v>85</v>
      </c>
      <c r="C39" s="1">
        <f>HLOOKUP(C$9,'Ressourcenausgleich Basis'!$C$8:$CB$151,31,FALSE)</f>
        <v>7531.46</v>
      </c>
      <c r="D39" s="9" t="e">
        <f>HLOOKUP(D$9,'Ressourcenausgleich Basis'!$C$8:$CB$151,31,FALSE)</f>
        <v>#N/A</v>
      </c>
    </row>
    <row r="40" spans="1:4" x14ac:dyDescent="0.2">
      <c r="A40" s="3"/>
      <c r="B40" s="30" t="s">
        <v>86</v>
      </c>
      <c r="C40" s="4">
        <f>HLOOKUP(C$9,'Ressourcenausgleich Basis'!$C$8:$CB$151,32,FALSE)</f>
        <v>90572787.620000005</v>
      </c>
      <c r="D40" s="4" t="e">
        <f>HLOOKUP(D$9,'Ressourcenausgleich Basis'!$C$8:$CB$151,32,FALSE)</f>
        <v>#N/A</v>
      </c>
    </row>
    <row r="41" spans="1:4" x14ac:dyDescent="0.2">
      <c r="A41" s="3"/>
      <c r="B41" s="30"/>
      <c r="C41" s="3"/>
      <c r="D41" s="3"/>
    </row>
    <row r="42" spans="1:4" x14ac:dyDescent="0.2">
      <c r="A42" s="3"/>
      <c r="B42" s="30" t="s">
        <v>95</v>
      </c>
      <c r="C42" s="4">
        <f>HLOOKUP(C$9,'Ressourcenausgleich Basis'!$C$8:$CB$151,34,FALSE)</f>
        <v>129453449.96523805</v>
      </c>
      <c r="D42" s="4" t="e">
        <f>HLOOKUP(D$9,'Ressourcenausgleich Basis'!$C$8:$CB$151,34,FALSE)</f>
        <v>#N/A</v>
      </c>
    </row>
    <row r="43" spans="1:4" x14ac:dyDescent="0.2">
      <c r="A43" s="3"/>
      <c r="B43" s="30"/>
      <c r="C43" s="3"/>
      <c r="D43" s="3"/>
    </row>
    <row r="44" spans="1:4" x14ac:dyDescent="0.2">
      <c r="A44" s="3"/>
      <c r="B44" s="32" t="s">
        <v>92</v>
      </c>
      <c r="C44" s="15">
        <f>HLOOKUP(C$9,'Ressourcenausgleich Basis'!$C$8:$CB$151,36,FALSE)</f>
        <v>90572787.620000005</v>
      </c>
      <c r="D44" s="15" t="e">
        <f>HLOOKUP(D$9,'Ressourcenausgleich Basis'!$C$8:$CB$151,36,FALSE)</f>
        <v>#N/A</v>
      </c>
    </row>
    <row r="45" spans="1:4" x14ac:dyDescent="0.2">
      <c r="A45" s="3"/>
      <c r="B45" s="30"/>
      <c r="C45" s="3"/>
      <c r="D45" s="3"/>
    </row>
    <row r="46" spans="1:4" x14ac:dyDescent="0.2">
      <c r="A46" s="35" t="s">
        <v>168</v>
      </c>
      <c r="B46" s="26" t="s">
        <v>88</v>
      </c>
      <c r="C46" s="35"/>
      <c r="D46" s="35"/>
    </row>
    <row r="47" spans="1:4" x14ac:dyDescent="0.2">
      <c r="A47" s="3"/>
      <c r="B47" s="30" t="s">
        <v>84</v>
      </c>
      <c r="C47" s="1">
        <f>HLOOKUP(C$9,'Ressourcenausgleich Basis'!$C$8:$CB$151,39,FALSE)</f>
        <v>1496696.2699999998</v>
      </c>
      <c r="D47" s="9" t="e">
        <f>HLOOKUP(D$9,'Ressourcenausgleich Basis'!$C$8:$CB$151,39,FALSE)</f>
        <v>#N/A</v>
      </c>
    </row>
    <row r="48" spans="1:4" x14ac:dyDescent="0.2">
      <c r="A48" s="3"/>
      <c r="B48" s="30" t="s">
        <v>85</v>
      </c>
      <c r="C48" s="1">
        <f>HLOOKUP(C$9,'Ressourcenausgleich Basis'!$C$8:$CB$151,40,FALSE)</f>
        <v>25.3</v>
      </c>
      <c r="D48" s="9" t="e">
        <f>HLOOKUP(D$9,'Ressourcenausgleich Basis'!$C$8:$CB$151,40,FALSE)</f>
        <v>#N/A</v>
      </c>
    </row>
    <row r="49" spans="1:4" x14ac:dyDescent="0.2">
      <c r="A49" s="21"/>
      <c r="B49" s="32" t="s">
        <v>93</v>
      </c>
      <c r="C49" s="34">
        <f>HLOOKUP(C$9,'Ressourcenausgleich Basis'!$C$8:$CB$151,41,FALSE)</f>
        <v>1496670.9699999997</v>
      </c>
      <c r="D49" s="34" t="e">
        <f>HLOOKUP(D$9,'Ressourcenausgleich Basis'!$C$8:$CB$151,41,FALSE)</f>
        <v>#N/A</v>
      </c>
    </row>
    <row r="50" spans="1:4" x14ac:dyDescent="0.2">
      <c r="A50" s="3"/>
      <c r="B50" s="30"/>
      <c r="C50" s="3"/>
      <c r="D50" s="3"/>
    </row>
    <row r="51" spans="1:4" x14ac:dyDescent="0.2">
      <c r="A51" s="35" t="s">
        <v>169</v>
      </c>
      <c r="B51" s="26" t="s">
        <v>2</v>
      </c>
      <c r="C51" s="35"/>
      <c r="D51" s="35"/>
    </row>
    <row r="52" spans="1:4" x14ac:dyDescent="0.2">
      <c r="A52" s="3"/>
      <c r="B52" s="30" t="s">
        <v>84</v>
      </c>
      <c r="C52" s="1">
        <f>HLOOKUP(C$9,'Ressourcenausgleich Basis'!$C$8:$CB$151,44,FALSE)</f>
        <v>55965094.730000004</v>
      </c>
      <c r="D52" s="9" t="e">
        <f>HLOOKUP(D$9,'Ressourcenausgleich Basis'!$C$8:$CB$151,44,FALSE)</f>
        <v>#N/A</v>
      </c>
    </row>
    <row r="53" spans="1:4" x14ac:dyDescent="0.2">
      <c r="A53" s="3"/>
      <c r="B53" s="30" t="s">
        <v>85</v>
      </c>
      <c r="C53" s="1">
        <f>HLOOKUP(C$9,'Ressourcenausgleich Basis'!$C$8:$CB$151,45,FALSE)</f>
        <v>320.12</v>
      </c>
      <c r="D53" s="9" t="e">
        <f>HLOOKUP(D$9,'Ressourcenausgleich Basis'!$C$8:$CB$151,45,FALSE)</f>
        <v>#N/A</v>
      </c>
    </row>
    <row r="54" spans="1:4" x14ac:dyDescent="0.2">
      <c r="A54" s="21"/>
      <c r="B54" s="32" t="s">
        <v>93</v>
      </c>
      <c r="C54" s="34">
        <f>HLOOKUP(C$9,'Ressourcenausgleich Basis'!$C$8:$CB$151,46,FALSE)</f>
        <v>55964774.610000007</v>
      </c>
      <c r="D54" s="34" t="e">
        <f>HLOOKUP(D$9,'Ressourcenausgleich Basis'!$C$8:$CB$151,46,FALSE)</f>
        <v>#N/A</v>
      </c>
    </row>
    <row r="55" spans="1:4" x14ac:dyDescent="0.2">
      <c r="A55" s="3"/>
      <c r="B55" s="30"/>
      <c r="C55" s="3"/>
      <c r="D55" s="3"/>
    </row>
    <row r="56" spans="1:4" x14ac:dyDescent="0.2">
      <c r="A56" s="35" t="s">
        <v>170</v>
      </c>
      <c r="B56" s="26" t="s">
        <v>3</v>
      </c>
      <c r="C56" s="35"/>
      <c r="D56" s="35"/>
    </row>
    <row r="57" spans="1:4" x14ac:dyDescent="0.2">
      <c r="A57" s="3"/>
      <c r="B57" s="30" t="s">
        <v>84</v>
      </c>
      <c r="C57" s="87">
        <f>HLOOKUP(C$9,'Ressourcenausgleich Basis'!$C$8:$CB$151,49,FALSE)</f>
        <v>63163925.149999991</v>
      </c>
      <c r="D57" s="41" t="e">
        <f>HLOOKUP(D$9,'Ressourcenausgleich Basis'!$C$8:$CB$151,49,FALSE)</f>
        <v>#N/A</v>
      </c>
    </row>
    <row r="58" spans="1:4" x14ac:dyDescent="0.2">
      <c r="A58" s="3"/>
      <c r="B58" s="30" t="s">
        <v>89</v>
      </c>
      <c r="C58" s="87">
        <f>HLOOKUP(C$9,'Ressourcenausgleich Basis'!$C$8:$CB$151,50,FALSE)</f>
        <v>5015.2999999999993</v>
      </c>
      <c r="D58" s="41" t="e">
        <f>HLOOKUP(D$9,'Ressourcenausgleich Basis'!$C$8:$CB$151,50,FALSE)</f>
        <v>#N/A</v>
      </c>
    </row>
    <row r="59" spans="1:4" x14ac:dyDescent="0.2">
      <c r="A59" s="21"/>
      <c r="B59" s="32" t="s">
        <v>93</v>
      </c>
      <c r="C59" s="88">
        <f>HLOOKUP(C$9,'Ressourcenausgleich Basis'!$C$8:$CB$151,51,FALSE)</f>
        <v>63158909.849999994</v>
      </c>
      <c r="D59" s="42" t="e">
        <f>HLOOKUP(D$9,'Ressourcenausgleich Basis'!$C$8:$CB$151,51,FALSE)</f>
        <v>#N/A</v>
      </c>
    </row>
    <row r="60" spans="1:4" x14ac:dyDescent="0.2">
      <c r="A60" s="3"/>
      <c r="B60" s="30"/>
      <c r="C60" s="3"/>
      <c r="D60" s="3"/>
    </row>
    <row r="61" spans="1:4" x14ac:dyDescent="0.2">
      <c r="A61" s="3"/>
      <c r="B61" s="24"/>
      <c r="C61" s="3"/>
      <c r="D61" s="3"/>
    </row>
    <row r="62" spans="1:4" ht="15.75" x14ac:dyDescent="0.25">
      <c r="A62" s="22" t="s">
        <v>103</v>
      </c>
      <c r="B62" s="23" t="s">
        <v>101</v>
      </c>
      <c r="C62" s="7"/>
      <c r="D62" s="7"/>
    </row>
    <row r="63" spans="1:4" x14ac:dyDescent="0.2">
      <c r="A63" s="3"/>
      <c r="B63" s="24"/>
      <c r="C63" s="5"/>
      <c r="D63" s="5"/>
    </row>
    <row r="64" spans="1:4" x14ac:dyDescent="0.2">
      <c r="A64" s="35" t="s">
        <v>145</v>
      </c>
      <c r="B64" s="26" t="s">
        <v>4</v>
      </c>
      <c r="C64" s="13"/>
      <c r="D64" s="13"/>
    </row>
    <row r="65" spans="1:4" x14ac:dyDescent="0.2">
      <c r="A65" s="3"/>
      <c r="B65" s="28" t="s">
        <v>91</v>
      </c>
      <c r="C65" s="66">
        <f>HLOOKUP(C$9,'Ressourcenausgleich Basis'!$C$8:$CB$151,57,FALSE)</f>
        <v>1.2086243860743471</v>
      </c>
      <c r="D65" s="10" t="e">
        <f>HLOOKUP(D$9,'Ressourcenausgleich Basis'!$C$8:$CB$151,57,FALSE)</f>
        <v>#N/A</v>
      </c>
    </row>
    <row r="66" spans="1:4" x14ac:dyDescent="0.2">
      <c r="A66" s="38"/>
      <c r="B66" s="31"/>
      <c r="C66" s="5"/>
      <c r="D66" s="5"/>
    </row>
    <row r="67" spans="1:4" x14ac:dyDescent="0.2">
      <c r="A67" s="3"/>
      <c r="B67" s="33" t="s">
        <v>97</v>
      </c>
      <c r="C67" s="36">
        <f>HLOOKUP(C$9,'Ressourcenausgleich Basis'!$C$8:$CB$151,59,FALSE)</f>
        <v>1092642498.1900003</v>
      </c>
      <c r="D67" s="44" t="e">
        <f>HLOOKUP(D$9,'Ressourcenausgleich Basis'!$C$8:$CB$151,59,FALSE)</f>
        <v>#N/A</v>
      </c>
    </row>
    <row r="68" spans="1:4" x14ac:dyDescent="0.2">
      <c r="A68" s="3"/>
      <c r="B68" s="33" t="s">
        <v>89</v>
      </c>
      <c r="C68" s="36">
        <f>HLOOKUP(C$9,'Ressourcenausgleich Basis'!$C$8:$CB$151,60,FALSE)</f>
        <v>6888282.9073934862</v>
      </c>
      <c r="D68" s="44" t="e">
        <f>HLOOKUP(D$9,'Ressourcenausgleich Basis'!$C$8:$CB$151,60,FALSE)</f>
        <v>#N/A</v>
      </c>
    </row>
    <row r="69" spans="1:4" x14ac:dyDescent="0.2">
      <c r="A69" s="3"/>
      <c r="B69" s="33" t="s">
        <v>98</v>
      </c>
      <c r="C69" s="5">
        <f>HLOOKUP(C$9,'Ressourcenausgleich Basis'!$C$8:$CB$151,61,FALSE)</f>
        <v>1085754215.2826061</v>
      </c>
      <c r="D69" s="5" t="e">
        <f>HLOOKUP(D$9,'Ressourcenausgleich Basis'!$C$8:$CB$151,61,FALSE)</f>
        <v>#N/A</v>
      </c>
    </row>
    <row r="70" spans="1:4" x14ac:dyDescent="0.2">
      <c r="A70" s="3"/>
      <c r="B70" s="33"/>
      <c r="C70" s="5"/>
      <c r="D70" s="5"/>
    </row>
    <row r="71" spans="1:4" x14ac:dyDescent="0.2">
      <c r="A71" s="3"/>
      <c r="B71" s="33" t="s">
        <v>99</v>
      </c>
      <c r="C71" s="5">
        <f>HLOOKUP(C$9,'Ressourcenausgleich Basis'!$C$8:$CB$151,63,FALSE)</f>
        <v>1312269021.8735743</v>
      </c>
      <c r="D71" s="5" t="e">
        <f>HLOOKUP(D$9,'Ressourcenausgleich Basis'!$C$8:$CB$151,63,FALSE)</f>
        <v>#N/A</v>
      </c>
    </row>
    <row r="72" spans="1:4" x14ac:dyDescent="0.2">
      <c r="A72" s="3"/>
      <c r="B72" s="33"/>
      <c r="C72" s="5"/>
      <c r="D72" s="5"/>
    </row>
    <row r="73" spans="1:4" x14ac:dyDescent="0.2">
      <c r="A73" s="21"/>
      <c r="B73" s="21" t="s">
        <v>92</v>
      </c>
      <c r="C73" s="15">
        <f>HLOOKUP(C$9,'Ressourcenausgleich Basis'!$C$8:$CB$151,65,FALSE)</f>
        <v>1312269021.8735743</v>
      </c>
      <c r="D73" s="15" t="e">
        <f>HLOOKUP(D$9,'Ressourcenausgleich Basis'!$C$8:$CB$151,65,FALSE)</f>
        <v>#N/A</v>
      </c>
    </row>
    <row r="74" spans="1:4" x14ac:dyDescent="0.2">
      <c r="A74" s="3"/>
      <c r="B74" s="33"/>
      <c r="C74" s="5"/>
      <c r="D74" s="5"/>
    </row>
    <row r="75" spans="1:4" x14ac:dyDescent="0.2">
      <c r="A75" s="25" t="s">
        <v>146</v>
      </c>
      <c r="B75" s="26" t="s">
        <v>0</v>
      </c>
      <c r="C75" s="16"/>
      <c r="D75" s="16"/>
    </row>
    <row r="76" spans="1:4" x14ac:dyDescent="0.2">
      <c r="A76" s="3"/>
      <c r="B76" s="30" t="s">
        <v>84</v>
      </c>
      <c r="C76" s="1">
        <f>HLOOKUP(C$9,'Ressourcenausgleich Basis'!$C$8:$CB$151,68,FALSE)</f>
        <v>68617907.450000003</v>
      </c>
      <c r="D76" s="9" t="e">
        <f>HLOOKUP(D$9,'Ressourcenausgleich Basis'!$C$8:$CB$151,68,FALSE)</f>
        <v>#N/A</v>
      </c>
    </row>
    <row r="77" spans="1:4" x14ac:dyDescent="0.2">
      <c r="A77" s="3"/>
      <c r="B77" s="30" t="s">
        <v>89</v>
      </c>
      <c r="C77" s="1">
        <f>HLOOKUP(C$9,'Ressourcenausgleich Basis'!$C$8:$CB$151,69,FALSE)</f>
        <v>459527.9499999999</v>
      </c>
      <c r="D77" s="9" t="e">
        <f>HLOOKUP(D$9,'Ressourcenausgleich Basis'!$C$8:$CB$151,69,FALSE)</f>
        <v>#N/A</v>
      </c>
    </row>
    <row r="78" spans="1:4" x14ac:dyDescent="0.2">
      <c r="A78" s="21"/>
      <c r="B78" s="32" t="s">
        <v>93</v>
      </c>
      <c r="C78" s="15">
        <f>HLOOKUP(C$9,'Ressourcenausgleich Basis'!$C$8:$CB$151,70,FALSE)</f>
        <v>68158379.50000003</v>
      </c>
      <c r="D78" s="15" t="e">
        <f>HLOOKUP(D$9,'Ressourcenausgleich Basis'!$C$8:$CB$151,70,FALSE)</f>
        <v>#N/A</v>
      </c>
    </row>
    <row r="79" spans="1:4" x14ac:dyDescent="0.2">
      <c r="A79" s="3"/>
      <c r="B79" s="30"/>
      <c r="C79" s="5"/>
      <c r="D79" s="5"/>
    </row>
    <row r="80" spans="1:4" x14ac:dyDescent="0.2">
      <c r="A80" s="25" t="s">
        <v>154</v>
      </c>
      <c r="B80" s="26" t="s">
        <v>1</v>
      </c>
      <c r="C80" s="16"/>
      <c r="D80" s="16"/>
    </row>
    <row r="81" spans="1:4" x14ac:dyDescent="0.2">
      <c r="A81" s="3"/>
      <c r="B81" s="30" t="s">
        <v>84</v>
      </c>
      <c r="C81" s="1">
        <f>HLOOKUP(C$9,'Ressourcenausgleich Basis'!$C$8:$CB$151,73,FALSE)</f>
        <v>191712889.29999995</v>
      </c>
      <c r="D81" s="9" t="e">
        <f>HLOOKUP(D$9,'Ressourcenausgleich Basis'!$C$8:$CB$151,73,FALSE)</f>
        <v>#N/A</v>
      </c>
    </row>
    <row r="82" spans="1:4" x14ac:dyDescent="0.2">
      <c r="A82" s="3"/>
      <c r="B82" s="30" t="s">
        <v>89</v>
      </c>
      <c r="C82" s="1">
        <f>HLOOKUP(C$9,'Ressourcenausgleich Basis'!$C$8:$CB$151,74,FALSE)</f>
        <v>893318.65000000014</v>
      </c>
      <c r="D82" s="9" t="e">
        <f>HLOOKUP(D$9,'Ressourcenausgleich Basis'!$C$8:$CB$151,74,FALSE)</f>
        <v>#N/A</v>
      </c>
    </row>
    <row r="83" spans="1:4" x14ac:dyDescent="0.2">
      <c r="A83" s="3"/>
      <c r="B83" s="30" t="s">
        <v>90</v>
      </c>
      <c r="C83" s="5">
        <f>HLOOKUP(C$9,'Ressourcenausgleich Basis'!$C$8:$CB$151,75,FALSE)</f>
        <v>388668.25</v>
      </c>
      <c r="D83" s="12" t="e">
        <f>HLOOKUP(D$9,'Ressourcenausgleich Basis'!$C$8:$CB$151,75,FALSE)</f>
        <v>#N/A</v>
      </c>
    </row>
    <row r="84" spans="1:4" x14ac:dyDescent="0.2">
      <c r="A84" s="21"/>
      <c r="B84" s="32" t="s">
        <v>93</v>
      </c>
      <c r="C84" s="15">
        <f>HLOOKUP(C$9,'Ressourcenausgleich Basis'!$C$8:$CB$151,76,FALSE)</f>
        <v>190430902.40000004</v>
      </c>
      <c r="D84" s="15" t="e">
        <f>HLOOKUP(D$9,'Ressourcenausgleich Basis'!$C$8:$CB$151,76,FALSE)</f>
        <v>#N/A</v>
      </c>
    </row>
    <row r="85" spans="1:4" x14ac:dyDescent="0.2">
      <c r="A85" s="3"/>
      <c r="B85" s="30"/>
      <c r="C85" s="5"/>
      <c r="D85" s="5"/>
    </row>
    <row r="86" spans="1:4" x14ac:dyDescent="0.2">
      <c r="A86" s="25" t="s">
        <v>160</v>
      </c>
      <c r="B86" s="26" t="s">
        <v>87</v>
      </c>
      <c r="C86" s="16"/>
      <c r="D86" s="16"/>
    </row>
    <row r="87" spans="1:4" x14ac:dyDescent="0.2">
      <c r="A87" s="3"/>
      <c r="B87" s="30" t="s">
        <v>94</v>
      </c>
      <c r="C87" s="5">
        <f>HLOOKUP(C$9,'Ressourcenausgleich Basis'!$C$8:$CB$151,79,FALSE)</f>
        <v>0.69997489261295243</v>
      </c>
      <c r="D87" s="12" t="e">
        <f>HLOOKUP(D$9,'Ressourcenausgleich Basis'!$C$8:$CB$151,79,FALSE)</f>
        <v>#N/A</v>
      </c>
    </row>
    <row r="88" spans="1:4" x14ac:dyDescent="0.2">
      <c r="A88" s="3"/>
      <c r="B88" s="40"/>
      <c r="C88" s="5"/>
      <c r="D88" s="5"/>
    </row>
    <row r="89" spans="1:4" x14ac:dyDescent="0.2">
      <c r="A89" s="3"/>
      <c r="B89" s="30" t="s">
        <v>84</v>
      </c>
      <c r="C89" s="5">
        <f>HLOOKUP(C$9,'Ressourcenausgleich Basis'!$C$8:$CB$151,81,FALSE)</f>
        <v>87238092.339999974</v>
      </c>
      <c r="D89" s="12" t="e">
        <f>HLOOKUP(D$9,'Ressourcenausgleich Basis'!$C$8:$CB$151,81,FALSE)</f>
        <v>#N/A</v>
      </c>
    </row>
    <row r="90" spans="1:4" x14ac:dyDescent="0.2">
      <c r="A90" s="3"/>
      <c r="B90" s="30" t="s">
        <v>85</v>
      </c>
      <c r="C90" s="5">
        <f>HLOOKUP(C$9,'Ressourcenausgleich Basis'!$C$8:$CB$151,82,FALSE)</f>
        <v>5090.5199999999995</v>
      </c>
      <c r="D90" s="12" t="e">
        <f>HLOOKUP(D$9,'Ressourcenausgleich Basis'!$C$8:$CB$151,82,FALSE)</f>
        <v>#N/A</v>
      </c>
    </row>
    <row r="91" spans="1:4" x14ac:dyDescent="0.2">
      <c r="A91" s="3"/>
      <c r="B91" s="30" t="s">
        <v>86</v>
      </c>
      <c r="C91" s="5">
        <f>HLOOKUP(C$9,'Ressourcenausgleich Basis'!$C$8:$CB$151,83,FALSE)</f>
        <v>87233001.819999993</v>
      </c>
      <c r="D91" s="5" t="e">
        <f>HLOOKUP(D$9,'Ressourcenausgleich Basis'!$C$8:$CB$151,83,FALSE)</f>
        <v>#N/A</v>
      </c>
    </row>
    <row r="92" spans="1:4" x14ac:dyDescent="0.2">
      <c r="A92" s="3"/>
      <c r="B92" s="30"/>
      <c r="C92" s="5"/>
      <c r="D92" s="5"/>
    </row>
    <row r="93" spans="1:4" x14ac:dyDescent="0.2">
      <c r="A93" s="3"/>
      <c r="B93" s="30" t="s">
        <v>95</v>
      </c>
      <c r="C93" s="5">
        <f>HLOOKUP(C$9,'Ressourcenausgleich Basis'!$C$8:$CB$151,85,FALSE)</f>
        <v>124623043.97</v>
      </c>
      <c r="D93" s="5" t="e">
        <f>HLOOKUP(D$9,'Ressourcenausgleich Basis'!$C$8:$CB$151,85,FALSE)</f>
        <v>#N/A</v>
      </c>
    </row>
    <row r="94" spans="1:4" x14ac:dyDescent="0.2">
      <c r="A94" s="3"/>
      <c r="B94" s="30"/>
      <c r="C94" s="5"/>
      <c r="D94" s="5"/>
    </row>
    <row r="95" spans="1:4" x14ac:dyDescent="0.2">
      <c r="A95" s="21"/>
      <c r="B95" s="32" t="s">
        <v>92</v>
      </c>
      <c r="C95" s="15">
        <f>HLOOKUP(C$9,'Ressourcenausgleich Basis'!$C$8:$CB$151,87,FALSE)</f>
        <v>87233001.819999993</v>
      </c>
      <c r="D95" s="15" t="e">
        <f>HLOOKUP(D$9,'Ressourcenausgleich Basis'!$C$8:$CB$151,87,FALSE)</f>
        <v>#N/A</v>
      </c>
    </row>
    <row r="96" spans="1:4" x14ac:dyDescent="0.2">
      <c r="A96" s="3"/>
      <c r="B96" s="30"/>
      <c r="C96" s="5"/>
      <c r="D96" s="5"/>
    </row>
    <row r="97" spans="1:4" x14ac:dyDescent="0.2">
      <c r="A97" s="25" t="s">
        <v>171</v>
      </c>
      <c r="B97" s="26" t="s">
        <v>88</v>
      </c>
      <c r="C97" s="16"/>
      <c r="D97" s="16"/>
    </row>
    <row r="98" spans="1:4" x14ac:dyDescent="0.2">
      <c r="A98" s="3"/>
      <c r="B98" s="30" t="s">
        <v>84</v>
      </c>
      <c r="C98" s="5">
        <f>HLOOKUP(C$9,'Ressourcenausgleich Basis'!$C$8:$CB$151,90,FALSE)</f>
        <v>1469404.5299999996</v>
      </c>
      <c r="D98" s="12" t="e">
        <f>HLOOKUP(D$9,'Ressourcenausgleich Basis'!$C$8:$CB$151,90,FALSE)</f>
        <v>#N/A</v>
      </c>
    </row>
    <row r="99" spans="1:4" x14ac:dyDescent="0.2">
      <c r="A99" s="3"/>
      <c r="B99" s="30" t="s">
        <v>85</v>
      </c>
      <c r="C99" s="5">
        <f>HLOOKUP(C$9,'Ressourcenausgleich Basis'!$C$8:$CB$151,91,FALSE)</f>
        <v>27.15</v>
      </c>
      <c r="D99" s="12" t="e">
        <f>HLOOKUP(D$9,'Ressourcenausgleich Basis'!$C$8:$CB$151,91,FALSE)</f>
        <v>#N/A</v>
      </c>
    </row>
    <row r="100" spans="1:4" x14ac:dyDescent="0.2">
      <c r="A100" s="21"/>
      <c r="B100" s="32" t="s">
        <v>93</v>
      </c>
      <c r="C100" s="15">
        <f>HLOOKUP(C$9,'Ressourcenausgleich Basis'!$C$8:$CB$151,92,FALSE)</f>
        <v>1469377.3799999994</v>
      </c>
      <c r="D100" s="15" t="e">
        <f>HLOOKUP(D$9,'Ressourcenausgleich Basis'!$C$8:$CB$151,92,FALSE)</f>
        <v>#N/A</v>
      </c>
    </row>
    <row r="101" spans="1:4" x14ac:dyDescent="0.2">
      <c r="A101" s="3"/>
      <c r="B101" s="30"/>
      <c r="C101" s="5"/>
      <c r="D101" s="5"/>
    </row>
    <row r="102" spans="1:4" x14ac:dyDescent="0.2">
      <c r="A102" s="25" t="s">
        <v>172</v>
      </c>
      <c r="B102" s="26" t="s">
        <v>2</v>
      </c>
      <c r="C102" s="16"/>
      <c r="D102" s="16"/>
    </row>
    <row r="103" spans="1:4" x14ac:dyDescent="0.2">
      <c r="A103" s="3"/>
      <c r="B103" s="30" t="s">
        <v>84</v>
      </c>
      <c r="C103" s="5">
        <f>HLOOKUP(C$9,'Ressourcenausgleich Basis'!$C$8:$CB$151,95,FALSE)</f>
        <v>50516231.639999986</v>
      </c>
      <c r="D103" s="12" t="e">
        <f>HLOOKUP(D$9,'Ressourcenausgleich Basis'!$C$8:$CB$151,95,FALSE)</f>
        <v>#N/A</v>
      </c>
    </row>
    <row r="104" spans="1:4" x14ac:dyDescent="0.2">
      <c r="A104" s="3"/>
      <c r="B104" s="30" t="s">
        <v>85</v>
      </c>
      <c r="C104" s="5">
        <f>HLOOKUP(C$9,'Ressourcenausgleich Basis'!$C$8:$CB$151,96,FALSE)</f>
        <v>0.85</v>
      </c>
      <c r="D104" s="12" t="e">
        <f>HLOOKUP(D$9,'Ressourcenausgleich Basis'!$C$8:$CB$151,96,FALSE)</f>
        <v>#N/A</v>
      </c>
    </row>
    <row r="105" spans="1:4" x14ac:dyDescent="0.2">
      <c r="A105" s="21"/>
      <c r="B105" s="32" t="s">
        <v>93</v>
      </c>
      <c r="C105" s="15">
        <f>HLOOKUP(C$9,'Ressourcenausgleich Basis'!$C$8:$CB$151,97,FALSE)</f>
        <v>50516230.789999992</v>
      </c>
      <c r="D105" s="15" t="e">
        <f>HLOOKUP(D$9,'Ressourcenausgleich Basis'!$C$8:$CB$151,97,FALSE)</f>
        <v>#N/A</v>
      </c>
    </row>
    <row r="106" spans="1:4" x14ac:dyDescent="0.2">
      <c r="A106" s="3"/>
      <c r="B106" s="30"/>
      <c r="C106" s="5"/>
      <c r="D106" s="5"/>
    </row>
    <row r="107" spans="1:4" x14ac:dyDescent="0.2">
      <c r="A107" s="25" t="s">
        <v>173</v>
      </c>
      <c r="B107" s="26" t="s">
        <v>3</v>
      </c>
      <c r="C107" s="16"/>
      <c r="D107" s="16"/>
    </row>
    <row r="108" spans="1:4" x14ac:dyDescent="0.2">
      <c r="A108" s="3"/>
      <c r="B108" s="30" t="s">
        <v>84</v>
      </c>
      <c r="C108" s="1">
        <f>HLOOKUP(C$9,'Ressourcenausgleich Basis'!$C$8:$CB$151,100,FALSE)</f>
        <v>56595329.049999982</v>
      </c>
      <c r="D108" s="9" t="e">
        <f>HLOOKUP(D$9,'Ressourcenausgleich Basis'!$C$8:$CB$151,100,FALSE)</f>
        <v>#N/A</v>
      </c>
    </row>
    <row r="109" spans="1:4" x14ac:dyDescent="0.2">
      <c r="A109" s="3"/>
      <c r="B109" s="30" t="s">
        <v>89</v>
      </c>
      <c r="C109" s="1">
        <f>HLOOKUP(C$9,'Ressourcenausgleich Basis'!$C$8:$CB$151,101,FALSE)</f>
        <v>13482.200000000004</v>
      </c>
      <c r="D109" s="9" t="e">
        <f>HLOOKUP(D$9,'Ressourcenausgleich Basis'!$C$8:$CB$151,101,FALSE)</f>
        <v>#N/A</v>
      </c>
    </row>
    <row r="110" spans="1:4" x14ac:dyDescent="0.2">
      <c r="A110" s="21"/>
      <c r="B110" s="32" t="s">
        <v>93</v>
      </c>
      <c r="C110" s="15">
        <f>HLOOKUP(C$9,'Ressourcenausgleich Basis'!$C$8:$CB$151,102,FALSE)</f>
        <v>56581846.849999979</v>
      </c>
      <c r="D110" s="15" t="e">
        <f>HLOOKUP(D$9,'Ressourcenausgleich Basis'!$C$8:$CB$151,102,FALSE)</f>
        <v>#N/A</v>
      </c>
    </row>
    <row r="111" spans="1:4" x14ac:dyDescent="0.2">
      <c r="A111" s="3"/>
      <c r="B111" s="30"/>
      <c r="C111" s="5"/>
      <c r="D111" s="5"/>
    </row>
    <row r="112" spans="1:4" x14ac:dyDescent="0.2">
      <c r="A112" s="3"/>
      <c r="B112" s="30"/>
      <c r="C112" s="5"/>
      <c r="D112" s="5"/>
    </row>
    <row r="113" spans="1:4" ht="15.75" x14ac:dyDescent="0.25">
      <c r="A113" s="22" t="s">
        <v>104</v>
      </c>
      <c r="B113" s="22" t="s">
        <v>96</v>
      </c>
      <c r="C113" s="46"/>
      <c r="D113" s="46"/>
    </row>
    <row r="114" spans="1:4" x14ac:dyDescent="0.2">
      <c r="A114" s="3"/>
      <c r="B114" s="30"/>
      <c r="C114" s="5"/>
      <c r="D114" s="5"/>
    </row>
    <row r="115" spans="1:4" x14ac:dyDescent="0.2">
      <c r="A115" s="35" t="s">
        <v>174</v>
      </c>
      <c r="B115" s="27" t="s">
        <v>105</v>
      </c>
      <c r="C115" s="13"/>
      <c r="D115" s="13"/>
    </row>
    <row r="116" spans="1:4" x14ac:dyDescent="0.2">
      <c r="A116" s="3"/>
      <c r="B116" s="30" t="s">
        <v>4</v>
      </c>
      <c r="C116" s="47">
        <f>HLOOKUP(C$9,'Ressourcenausgleich Basis'!$C$8:$CB$151,108,FALSE)</f>
        <v>1307154332.6038485</v>
      </c>
      <c r="D116" s="47" t="e">
        <f>HLOOKUP(D$9,'Ressourcenausgleich Basis'!$C$8:$CB$151,108,FALSE)</f>
        <v>#N/A</v>
      </c>
    </row>
    <row r="117" spans="1:4" x14ac:dyDescent="0.2">
      <c r="A117" s="3"/>
      <c r="B117" s="30" t="s">
        <v>0</v>
      </c>
      <c r="C117" s="47">
        <f>HLOOKUP(C$9,'Ressourcenausgleich Basis'!$C$8:$CB$151,109,FALSE)</f>
        <v>65731751.610000007</v>
      </c>
      <c r="D117" s="47" t="e">
        <f>HLOOKUP(D$9,'Ressourcenausgleich Basis'!$C$8:$CB$151,109,FALSE)</f>
        <v>#N/A</v>
      </c>
    </row>
    <row r="118" spans="1:4" x14ac:dyDescent="0.2">
      <c r="A118" s="3"/>
      <c r="B118" s="30" t="s">
        <v>1</v>
      </c>
      <c r="C118" s="47">
        <f>HLOOKUP(C$9,'Ressourcenausgleich Basis'!$C$8:$CB$151,110,FALSE)</f>
        <v>209094223.54999998</v>
      </c>
      <c r="D118" s="47" t="e">
        <f>HLOOKUP(D$9,'Ressourcenausgleich Basis'!$C$8:$CB$151,110,FALSE)</f>
        <v>#N/A</v>
      </c>
    </row>
    <row r="119" spans="1:4" x14ac:dyDescent="0.2">
      <c r="A119" s="3"/>
      <c r="B119" s="30" t="s">
        <v>87</v>
      </c>
      <c r="C119" s="47">
        <f>HLOOKUP(C$9,'Ressourcenausgleich Basis'!$C$8:$CB$151,111,FALSE)</f>
        <v>90572787.620000005</v>
      </c>
      <c r="D119" s="47" t="e">
        <f>HLOOKUP(D$9,'Ressourcenausgleich Basis'!$C$8:$CB$151,111,FALSE)</f>
        <v>#N/A</v>
      </c>
    </row>
    <row r="120" spans="1:4" x14ac:dyDescent="0.2">
      <c r="A120" s="3"/>
      <c r="B120" s="33" t="s">
        <v>88</v>
      </c>
      <c r="C120" s="47">
        <f>HLOOKUP(C$9,'Ressourcenausgleich Basis'!$C$8:$CB$151,112,FALSE)</f>
        <v>1496670.9699999997</v>
      </c>
      <c r="D120" s="47" t="e">
        <f>HLOOKUP(D$9,'Ressourcenausgleich Basis'!$C$8:$CB$151,112,FALSE)</f>
        <v>#N/A</v>
      </c>
    </row>
    <row r="121" spans="1:4" x14ac:dyDescent="0.2">
      <c r="A121" s="3"/>
      <c r="B121" s="33" t="s">
        <v>2</v>
      </c>
      <c r="C121" s="47">
        <f>HLOOKUP(C$9,'Ressourcenausgleich Basis'!$C$8:$CB$151,113,FALSE)</f>
        <v>55964774.610000007</v>
      </c>
      <c r="D121" s="47" t="e">
        <f>HLOOKUP(D$9,'Ressourcenausgleich Basis'!$C$8:$CB$151,113,FALSE)</f>
        <v>#N/A</v>
      </c>
    </row>
    <row r="122" spans="1:4" x14ac:dyDescent="0.2">
      <c r="A122" s="3"/>
      <c r="B122" s="33" t="s">
        <v>3</v>
      </c>
      <c r="C122" s="47">
        <f>HLOOKUP(C$9,'Ressourcenausgleich Basis'!$C$8:$CB$151,114,FALSE)</f>
        <v>63158909.849999994</v>
      </c>
      <c r="D122" s="47" t="e">
        <f>HLOOKUP(D$9,'Ressourcenausgleich Basis'!$C$8:$CB$151,114,FALSE)</f>
        <v>#N/A</v>
      </c>
    </row>
    <row r="123" spans="1:4" x14ac:dyDescent="0.2">
      <c r="A123" s="3"/>
      <c r="B123" s="33" t="s">
        <v>82</v>
      </c>
      <c r="C123" s="47">
        <f>HLOOKUP(C$9,'Ressourcenausgleich Basis'!$C$8:$CB$151,115,FALSE)</f>
        <v>1793173450.813848</v>
      </c>
      <c r="D123" s="47" t="e">
        <f>HLOOKUP(D$9,'Ressourcenausgleich Basis'!$C$8:$CB$151,115,FALSE)</f>
        <v>#N/A</v>
      </c>
    </row>
    <row r="124" spans="1:4" x14ac:dyDescent="0.2">
      <c r="A124" s="3"/>
      <c r="B124" s="33"/>
      <c r="C124" s="3"/>
      <c r="D124" s="3"/>
    </row>
    <row r="125" spans="1:4" x14ac:dyDescent="0.2">
      <c r="A125" s="3"/>
      <c r="B125" s="33" t="s">
        <v>83</v>
      </c>
      <c r="C125" s="48">
        <f>HLOOKUP(C$9,'Ressourcenausgleich Basis'!$C$8:$CB$151,117,FALSE)</f>
        <v>510734</v>
      </c>
      <c r="D125" s="72" t="e">
        <f>HLOOKUP(D$9,'Ressourcenausgleich Basis'!$C$8:$CB$151,117,FALSE)</f>
        <v>#N/A</v>
      </c>
    </row>
    <row r="126" spans="1:4" x14ac:dyDescent="0.2">
      <c r="A126" s="3"/>
      <c r="B126" s="33"/>
      <c r="C126" s="3"/>
      <c r="D126" s="3"/>
    </row>
    <row r="127" spans="1:4" x14ac:dyDescent="0.2">
      <c r="A127" s="21"/>
      <c r="B127" s="21" t="s">
        <v>112</v>
      </c>
      <c r="C127" s="50">
        <f>HLOOKUP(C$9,'Ressourcenausgleich Basis'!$C$8:$CB$151,119,FALSE)</f>
        <v>3510.973326259556</v>
      </c>
      <c r="D127" s="50" t="e">
        <f>HLOOKUP(D$9,'Ressourcenausgleich Basis'!$C$8:$CB$151,119,FALSE)</f>
        <v>#N/A</v>
      </c>
    </row>
    <row r="128" spans="1:4" x14ac:dyDescent="0.2">
      <c r="A128" s="3"/>
      <c r="B128" s="30"/>
      <c r="C128" s="5"/>
      <c r="D128" s="5"/>
    </row>
    <row r="129" spans="1:4" x14ac:dyDescent="0.2">
      <c r="A129" s="35" t="s">
        <v>175</v>
      </c>
      <c r="B129" s="27" t="s">
        <v>106</v>
      </c>
      <c r="C129" s="13"/>
      <c r="D129" s="13"/>
    </row>
    <row r="130" spans="1:4" x14ac:dyDescent="0.2">
      <c r="A130" s="3"/>
      <c r="B130" s="30" t="s">
        <v>4</v>
      </c>
      <c r="C130" s="5">
        <f>HLOOKUP(C$9,'Ressourcenausgleich Basis'!$C$8:$CB$151,122,FALSE)</f>
        <v>1312269021.8735743</v>
      </c>
      <c r="D130" s="5" t="e">
        <f>HLOOKUP(D$9,'Ressourcenausgleich Basis'!$C$8:$CB$151,122,FALSE)</f>
        <v>#N/A</v>
      </c>
    </row>
    <row r="131" spans="1:4" x14ac:dyDescent="0.2">
      <c r="A131" s="3"/>
      <c r="B131" s="30" t="s">
        <v>0</v>
      </c>
      <c r="C131" s="5">
        <f>HLOOKUP(C$9,'Ressourcenausgleich Basis'!$C$8:$CB$151,123,FALSE)</f>
        <v>68158379.50000003</v>
      </c>
      <c r="D131" s="5" t="e">
        <f>HLOOKUP(D$9,'Ressourcenausgleich Basis'!$C$8:$CB$151,123,FALSE)</f>
        <v>#N/A</v>
      </c>
    </row>
    <row r="132" spans="1:4" x14ac:dyDescent="0.2">
      <c r="A132" s="3"/>
      <c r="B132" s="30" t="s">
        <v>1</v>
      </c>
      <c r="C132" s="5">
        <f>HLOOKUP(C$9,'Ressourcenausgleich Basis'!$C$8:$CB$151,124,FALSE)</f>
        <v>190430902.40000004</v>
      </c>
      <c r="D132" s="5" t="e">
        <f>HLOOKUP(D$9,'Ressourcenausgleich Basis'!$C$8:$CB$151,124,FALSE)</f>
        <v>#N/A</v>
      </c>
    </row>
    <row r="133" spans="1:4" x14ac:dyDescent="0.2">
      <c r="A133" s="3"/>
      <c r="B133" s="30" t="s">
        <v>87</v>
      </c>
      <c r="C133" s="5">
        <f>HLOOKUP(C$9,'Ressourcenausgleich Basis'!$C$8:$CB$151,125,FALSE)</f>
        <v>87233001.819999993</v>
      </c>
      <c r="D133" s="5" t="e">
        <f>HLOOKUP(D$9,'Ressourcenausgleich Basis'!$C$8:$CB$151,125,FALSE)</f>
        <v>#N/A</v>
      </c>
    </row>
    <row r="134" spans="1:4" x14ac:dyDescent="0.2">
      <c r="A134" s="3"/>
      <c r="B134" s="33" t="s">
        <v>88</v>
      </c>
      <c r="C134" s="5">
        <f>HLOOKUP(C$9,'Ressourcenausgleich Basis'!$C$8:$CB$151,126,FALSE)</f>
        <v>1469377.3799999994</v>
      </c>
      <c r="D134" s="5" t="e">
        <f>HLOOKUP(D$9,'Ressourcenausgleich Basis'!$C$8:$CB$151,126,FALSE)</f>
        <v>#N/A</v>
      </c>
    </row>
    <row r="135" spans="1:4" x14ac:dyDescent="0.2">
      <c r="A135" s="3"/>
      <c r="B135" s="33" t="s">
        <v>2</v>
      </c>
      <c r="C135" s="5">
        <f>HLOOKUP(C$9,'Ressourcenausgleich Basis'!$C$8:$CB$151,127,FALSE)</f>
        <v>50516230.789999992</v>
      </c>
      <c r="D135" s="5" t="e">
        <f>HLOOKUP(D$9,'Ressourcenausgleich Basis'!$C$8:$CB$151,127,FALSE)</f>
        <v>#N/A</v>
      </c>
    </row>
    <row r="136" spans="1:4" x14ac:dyDescent="0.2">
      <c r="A136" s="3"/>
      <c r="B136" s="33" t="s">
        <v>3</v>
      </c>
      <c r="C136" s="5">
        <f>HLOOKUP(C$9,'Ressourcenausgleich Basis'!$C$8:$CB$151,128,FALSE)</f>
        <v>56581846.849999979</v>
      </c>
      <c r="D136" s="5" t="e">
        <f>HLOOKUP(D$9,'Ressourcenausgleich Basis'!$C$8:$CB$151,128,FALSE)</f>
        <v>#N/A</v>
      </c>
    </row>
    <row r="137" spans="1:4" x14ac:dyDescent="0.2">
      <c r="A137" s="3"/>
      <c r="B137" s="33" t="s">
        <v>82</v>
      </c>
      <c r="C137" s="5">
        <f>HLOOKUP(C$9,'Ressourcenausgleich Basis'!$C$8:$CB$151,129,FALSE)</f>
        <v>1766658760.6135743</v>
      </c>
      <c r="D137" s="5" t="e">
        <f>HLOOKUP(D$9,'Ressourcenausgleich Basis'!$C$8:$CB$151,129,FALSE)</f>
        <v>#N/A</v>
      </c>
    </row>
    <row r="138" spans="1:4" x14ac:dyDescent="0.2">
      <c r="A138" s="3"/>
      <c r="B138" s="33"/>
      <c r="C138" s="5"/>
      <c r="D138" s="5"/>
    </row>
    <row r="139" spans="1:4" x14ac:dyDescent="0.2">
      <c r="A139" s="3"/>
      <c r="B139" s="33" t="s">
        <v>83</v>
      </c>
      <c r="C139" s="51">
        <f>HLOOKUP(C$9,'Ressourcenausgleich Basis'!$C$8:$CB$151,131,FALSE)</f>
        <v>507697</v>
      </c>
      <c r="D139" s="49" t="e">
        <f>HLOOKUP(D$9,'Ressourcenausgleich Basis'!$C$8:$CB$151,131,FALSE)</f>
        <v>#N/A</v>
      </c>
    </row>
    <row r="140" spans="1:4" x14ac:dyDescent="0.2">
      <c r="A140" s="3"/>
      <c r="B140" s="33"/>
      <c r="C140" s="5"/>
      <c r="D140" s="5"/>
    </row>
    <row r="141" spans="1:4" x14ac:dyDescent="0.2">
      <c r="A141" s="21"/>
      <c r="B141" s="21" t="s">
        <v>112</v>
      </c>
      <c r="C141" s="52">
        <f>HLOOKUP(C$9,'Ressourcenausgleich Basis'!$C$8:$CB$151,133,FALSE)</f>
        <v>3479.7502459411307</v>
      </c>
      <c r="D141" s="52" t="e">
        <f>HLOOKUP(D$9,'Ressourcenausgleich Basis'!$C$8:$CB$151,133,FALSE)</f>
        <v>#N/A</v>
      </c>
    </row>
    <row r="142" spans="1:4" x14ac:dyDescent="0.2">
      <c r="A142" s="3"/>
      <c r="B142" s="3"/>
      <c r="C142" s="5"/>
      <c r="D142" s="5"/>
    </row>
    <row r="143" spans="1:4" x14ac:dyDescent="0.2">
      <c r="A143" s="3"/>
      <c r="B143" s="3"/>
      <c r="C143" s="5"/>
      <c r="D143" s="5"/>
    </row>
    <row r="144" spans="1:4" x14ac:dyDescent="0.2">
      <c r="A144" s="25" t="s">
        <v>176</v>
      </c>
      <c r="B144" s="27" t="s">
        <v>107</v>
      </c>
      <c r="C144" s="16">
        <f>HLOOKUP(C$9,'Ressourcenausgleich Basis'!$C$8:$CB$151,136,FALSE)</f>
        <v>3495.3617861003431</v>
      </c>
      <c r="D144" s="16" t="e">
        <f>HLOOKUP(D$9,'Ressourcenausgleich Basis'!$C$8:$CB$151,136,FALSE)</f>
        <v>#N/A</v>
      </c>
    </row>
    <row r="145" spans="1:4" x14ac:dyDescent="0.2">
      <c r="A145" s="53"/>
      <c r="B145" s="53" t="s">
        <v>157</v>
      </c>
      <c r="C145" s="66">
        <f>HLOOKUP(C$9,'Ressourcenausgleich Basis'!$C$8:$CB$151,137,FALSE)</f>
        <v>1</v>
      </c>
      <c r="D145" s="66" t="e">
        <f>HLOOKUP(D$9,'Ressourcenausgleich Basis'!$C$8:$CB$151,137,FALSE)</f>
        <v>#N/A</v>
      </c>
    </row>
    <row r="146" spans="1:4" x14ac:dyDescent="0.2">
      <c r="A146" s="53"/>
      <c r="B146" s="53"/>
      <c r="C146" s="6"/>
      <c r="D146" s="6"/>
    </row>
    <row r="147" spans="1:4" x14ac:dyDescent="0.2">
      <c r="A147" s="3"/>
      <c r="B147" s="3"/>
      <c r="C147" s="5"/>
      <c r="D147" s="5"/>
    </row>
    <row r="148" spans="1:4" ht="15.75" x14ac:dyDescent="0.25">
      <c r="A148" s="22" t="s">
        <v>109</v>
      </c>
      <c r="B148" s="22" t="s">
        <v>108</v>
      </c>
      <c r="C148" s="46"/>
      <c r="D148" s="46"/>
    </row>
    <row r="149" spans="1:4" x14ac:dyDescent="0.2">
      <c r="A149" s="3"/>
      <c r="B149" s="3"/>
      <c r="C149" s="5"/>
      <c r="D149" s="5"/>
    </row>
    <row r="150" spans="1:4" x14ac:dyDescent="0.2">
      <c r="A150" s="3"/>
      <c r="B150" s="3" t="s">
        <v>110</v>
      </c>
      <c r="C150" s="10">
        <f>HLOOKUP(C$9,'Ressourcenausgleich Basis'!$C$8:$CB$151,142,FALSE)</f>
        <v>0.96</v>
      </c>
      <c r="D150" s="5"/>
    </row>
    <row r="151" spans="1:4" x14ac:dyDescent="0.2">
      <c r="A151" s="3"/>
      <c r="B151" s="3"/>
      <c r="C151" s="5"/>
      <c r="D151" s="5"/>
    </row>
    <row r="152" spans="1:4" x14ac:dyDescent="0.2">
      <c r="A152" s="54"/>
      <c r="B152" s="54" t="s">
        <v>111</v>
      </c>
      <c r="C152" s="55">
        <f>HLOOKUP(C$9,'Ressourcenausgleich Basis'!$C$8:$CB$151,144,FALSE)</f>
        <v>122317300</v>
      </c>
      <c r="D152" s="55" t="e">
        <f>HLOOKUP(D$9,'Ressourcenausgleich Basis'!$C$8:$CB$151,144,FALSE)</f>
        <v>#N/A</v>
      </c>
    </row>
  </sheetData>
  <sheetProtection algorithmName="SHA-512" hashValue="0cb5AC8tPNBc+ch+pqUJ71PDzjHRQbNrYpf/NDEYzT6CnVt9JiLybyFlWjBnFenfSPOh1+lF0IGvVkQW1Zqe5A==" saltValue="L+6X+3ANl2ahcOrjqVXkqQ==" spinCount="100000" sheet="1" selectLockedCells="1"/>
  <pageMargins left="0.70866141732283472" right="0.31496062992125984" top="0.59055118110236227" bottom="0.59055118110236227" header="0.31496062992125984" footer="0.31496062992125984"/>
  <pageSetup paperSize="9"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75"/>
  <sheetViews>
    <sheetView showGridLines="0" workbookViewId="0">
      <selection activeCell="A104" sqref="A104"/>
    </sheetView>
  </sheetViews>
  <sheetFormatPr baseColWidth="10" defaultRowHeight="12.75" x14ac:dyDescent="0.2"/>
  <cols>
    <col min="1" max="1" width="4.140625" bestFit="1" customWidth="1"/>
    <col min="2" max="2" width="48.85546875" customWidth="1"/>
    <col min="3" max="3" width="22.42578125" customWidth="1"/>
    <col min="4" max="4" width="22.42578125" bestFit="1" customWidth="1"/>
  </cols>
  <sheetData>
    <row r="1" spans="1:4" x14ac:dyDescent="0.2">
      <c r="A1" s="83" t="s">
        <v>217</v>
      </c>
    </row>
    <row r="2" spans="1:4" x14ac:dyDescent="0.2">
      <c r="A2" t="s">
        <v>218</v>
      </c>
    </row>
    <row r="5" spans="1:4" ht="26.25" x14ac:dyDescent="0.4">
      <c r="A5" s="18" t="s">
        <v>177</v>
      </c>
      <c r="B5" s="3"/>
    </row>
    <row r="6" spans="1:4" x14ac:dyDescent="0.2">
      <c r="A6" s="3"/>
      <c r="B6" s="3"/>
    </row>
    <row r="7" spans="1:4" x14ac:dyDescent="0.2">
      <c r="A7" s="3"/>
      <c r="B7" s="20" t="s">
        <v>226</v>
      </c>
    </row>
    <row r="8" spans="1:4" s="84" customFormat="1" x14ac:dyDescent="0.2">
      <c r="A8" s="38"/>
      <c r="B8" s="38"/>
    </row>
    <row r="9" spans="1:4" x14ac:dyDescent="0.2">
      <c r="A9" s="21"/>
      <c r="B9" s="21"/>
      <c r="C9" s="91" t="s">
        <v>82</v>
      </c>
      <c r="D9" s="91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102</v>
      </c>
      <c r="B11" s="23" t="s">
        <v>129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38"/>
      <c r="B13" s="59" t="s">
        <v>83</v>
      </c>
      <c r="C13" s="60">
        <f>HLOOKUP(C$9,'SL Weite Basis'!$C$8:$CB$74,5,FALSE)</f>
        <v>510734</v>
      </c>
      <c r="D13" s="92" t="e">
        <f>HLOOKUP(D$9,'SL Weite Basis'!$C$8:$CB$74,5,FALSE)</f>
        <v>#N/A</v>
      </c>
    </row>
    <row r="14" spans="1:4" x14ac:dyDescent="0.2">
      <c r="A14" s="38"/>
      <c r="B14" s="30"/>
      <c r="C14" s="5"/>
      <c r="D14" s="5"/>
    </row>
    <row r="15" spans="1:4" x14ac:dyDescent="0.2">
      <c r="A15" s="3"/>
      <c r="B15" s="3"/>
      <c r="C15" s="5"/>
      <c r="D15" s="5"/>
    </row>
    <row r="16" spans="1:4" ht="15.75" x14ac:dyDescent="0.25">
      <c r="A16" s="22" t="s">
        <v>103</v>
      </c>
      <c r="B16" s="22" t="s">
        <v>181</v>
      </c>
      <c r="C16" s="46"/>
      <c r="D16" s="46"/>
    </row>
    <row r="17" spans="1:4" x14ac:dyDescent="0.2">
      <c r="A17" s="3"/>
      <c r="B17" s="3"/>
      <c r="C17" s="5"/>
      <c r="D17" s="5"/>
    </row>
    <row r="18" spans="1:4" x14ac:dyDescent="0.2">
      <c r="A18" s="63" t="s">
        <v>145</v>
      </c>
      <c r="B18" s="61" t="s">
        <v>182</v>
      </c>
      <c r="C18" s="62"/>
      <c r="D18" s="62"/>
    </row>
    <row r="19" spans="1:4" x14ac:dyDescent="0.2">
      <c r="A19" s="3"/>
      <c r="B19" s="3"/>
      <c r="C19" s="5"/>
      <c r="D19" s="5"/>
    </row>
    <row r="20" spans="1:4" x14ac:dyDescent="0.2">
      <c r="A20" s="30"/>
      <c r="B20" s="30" t="s">
        <v>178</v>
      </c>
      <c r="C20" s="74">
        <f>HLOOKUP(C$9,'SL Weite Basis'!$C$8:$CB$74,12,FALSE)</f>
        <v>124924.09479999998</v>
      </c>
      <c r="D20" s="44" t="e">
        <f>HLOOKUP(D$9,'SL Weite Basis'!$C$8:$CB$74,12,FALSE)</f>
        <v>#N/A</v>
      </c>
    </row>
    <row r="21" spans="1:4" x14ac:dyDescent="0.2">
      <c r="A21" s="3"/>
      <c r="B21" s="3" t="s">
        <v>185</v>
      </c>
      <c r="C21" s="5"/>
      <c r="D21" s="5" t="e">
        <f>HLOOKUP(D$9,'SL Weite Basis'!$C$8:$CB$74,13,FALSE)</f>
        <v>#N/A</v>
      </c>
    </row>
    <row r="22" spans="1:4" x14ac:dyDescent="0.2">
      <c r="A22" s="3"/>
      <c r="B22" s="38" t="s">
        <v>188</v>
      </c>
      <c r="C22" s="12">
        <f>HLOOKUP(C$9,'SL Weite Basis'!$C$8:$CB$74,14,FALSE)</f>
        <v>1166</v>
      </c>
      <c r="D22" s="5"/>
    </row>
    <row r="23" spans="1:4" x14ac:dyDescent="0.2">
      <c r="A23" s="3"/>
      <c r="B23" s="38" t="s">
        <v>189</v>
      </c>
      <c r="C23" s="5"/>
      <c r="D23" s="5" t="e">
        <f>HLOOKUP(D$9,'SL Weite Basis'!$C$8:$CB$74,15,FALSE)</f>
        <v>#N/A</v>
      </c>
    </row>
    <row r="24" spans="1:4" x14ac:dyDescent="0.2">
      <c r="A24" s="3"/>
      <c r="B24" s="3"/>
      <c r="C24" s="5"/>
      <c r="D24" s="5"/>
    </row>
    <row r="25" spans="1:4" x14ac:dyDescent="0.2">
      <c r="A25" s="21"/>
      <c r="B25" s="32" t="s">
        <v>190</v>
      </c>
      <c r="C25" s="15"/>
      <c r="D25" s="15" t="e">
        <f>HLOOKUP(D$9,'SL Weite Basis'!$C$8:$CB$74,17,FALSE)</f>
        <v>#N/A</v>
      </c>
    </row>
    <row r="26" spans="1:4" x14ac:dyDescent="0.2">
      <c r="A26" s="3"/>
      <c r="B26" s="3"/>
      <c r="C26" s="5"/>
      <c r="D26" s="5"/>
    </row>
    <row r="27" spans="1:4" x14ac:dyDescent="0.2">
      <c r="A27" s="63" t="s">
        <v>146</v>
      </c>
      <c r="B27" s="61" t="s">
        <v>183</v>
      </c>
      <c r="C27" s="62"/>
      <c r="D27" s="62"/>
    </row>
    <row r="28" spans="1:4" x14ac:dyDescent="0.2">
      <c r="A28" s="3"/>
      <c r="B28" s="3"/>
      <c r="C28" s="5"/>
      <c r="D28" s="5"/>
    </row>
    <row r="29" spans="1:4" x14ac:dyDescent="0.2">
      <c r="A29" s="30"/>
      <c r="B29" s="30" t="s">
        <v>215</v>
      </c>
      <c r="C29" s="60">
        <f>HLOOKUP(C$9,'SL Weite Basis'!$C$8:$CB$74,21,FALSE)</f>
        <v>21220</v>
      </c>
      <c r="D29" s="72" t="e">
        <f>HLOOKUP(D$9,'SL Weite Basis'!$C$8:$CB$74,21,FALSE)</f>
        <v>#N/A</v>
      </c>
    </row>
    <row r="30" spans="1:4" x14ac:dyDescent="0.2">
      <c r="A30" s="3"/>
      <c r="B30" s="3" t="s">
        <v>186</v>
      </c>
      <c r="C30" s="5"/>
      <c r="D30" s="5" t="e">
        <f>HLOOKUP(D$9,'SL Weite Basis'!$C$8:$CB$74,22,FALSE)</f>
        <v>#N/A</v>
      </c>
    </row>
    <row r="31" spans="1:4" x14ac:dyDescent="0.2">
      <c r="A31" s="3"/>
      <c r="B31" s="38" t="s">
        <v>191</v>
      </c>
      <c r="C31" s="12">
        <f>HLOOKUP(C$9,'SL Weite Basis'!$C$8:$CB$74,23,FALSE)</f>
        <v>134</v>
      </c>
      <c r="D31" s="5"/>
    </row>
    <row r="32" spans="1:4" x14ac:dyDescent="0.2">
      <c r="A32" s="3"/>
      <c r="B32" s="38" t="s">
        <v>189</v>
      </c>
      <c r="C32" s="5"/>
      <c r="D32" s="5" t="e">
        <f>HLOOKUP(D$9,'SL Weite Basis'!$C$8:$CB$74,24,FALSE)</f>
        <v>#N/A</v>
      </c>
    </row>
    <row r="33" spans="1:4" x14ac:dyDescent="0.2">
      <c r="A33" s="3"/>
      <c r="B33" s="3"/>
      <c r="C33" s="5"/>
      <c r="D33" s="5"/>
    </row>
    <row r="34" spans="1:4" x14ac:dyDescent="0.2">
      <c r="A34" s="21"/>
      <c r="B34" s="32" t="s">
        <v>190</v>
      </c>
      <c r="C34" s="15"/>
      <c r="D34" s="15" t="e">
        <f>HLOOKUP(D$9,'SL Weite Basis'!$C$8:$CB$74,26,FALSE)</f>
        <v>#N/A</v>
      </c>
    </row>
    <row r="35" spans="1:4" x14ac:dyDescent="0.2">
      <c r="A35" s="3"/>
      <c r="B35" s="3"/>
      <c r="C35" s="5"/>
      <c r="D35" s="5"/>
    </row>
    <row r="36" spans="1:4" x14ac:dyDescent="0.2">
      <c r="A36" s="63" t="s">
        <v>154</v>
      </c>
      <c r="B36" s="61" t="s">
        <v>179</v>
      </c>
      <c r="C36" s="62"/>
      <c r="D36" s="62"/>
    </row>
    <row r="37" spans="1:4" x14ac:dyDescent="0.2">
      <c r="A37" s="3"/>
      <c r="B37" s="3"/>
      <c r="C37" s="5"/>
      <c r="D37" s="5"/>
    </row>
    <row r="38" spans="1:4" x14ac:dyDescent="0.2">
      <c r="A38" s="30"/>
      <c r="B38" s="30" t="s">
        <v>216</v>
      </c>
      <c r="C38" s="74">
        <f>HLOOKUP(C$9,'SL Weite Basis'!$C$8:$CB$74,30,FALSE)</f>
        <v>86211.314115847548</v>
      </c>
      <c r="D38" s="44" t="e">
        <f>HLOOKUP(D$9,'SL Weite Basis'!$C$8:$CB$74,30,FALSE)</f>
        <v>#N/A</v>
      </c>
    </row>
    <row r="39" spans="1:4" x14ac:dyDescent="0.2">
      <c r="A39" s="3"/>
      <c r="B39" s="3" t="s">
        <v>191</v>
      </c>
      <c r="C39" s="75">
        <f>HLOOKUP(C$9,'SL Weite Basis'!$C$8:$CB$74,31,FALSE)</f>
        <v>8.0000000000000002E-3</v>
      </c>
      <c r="D39" s="5"/>
    </row>
    <row r="40" spans="1:4" x14ac:dyDescent="0.2">
      <c r="A40" s="3"/>
      <c r="B40" s="3" t="s">
        <v>189</v>
      </c>
      <c r="C40" s="5"/>
      <c r="D40" s="5" t="e">
        <f>HLOOKUP(D$9,'SL Weite Basis'!$C$8:$CB$74,32,FALSE)</f>
        <v>#N/A</v>
      </c>
    </row>
    <row r="41" spans="1:4" x14ac:dyDescent="0.2">
      <c r="A41" s="3"/>
      <c r="B41" s="3"/>
      <c r="C41" s="5"/>
      <c r="D41" s="5"/>
    </row>
    <row r="42" spans="1:4" x14ac:dyDescent="0.2">
      <c r="A42" s="21"/>
      <c r="B42" s="32" t="s">
        <v>190</v>
      </c>
      <c r="C42" s="15"/>
      <c r="D42" s="15" t="e">
        <f>HLOOKUP(D$9,'SL Weite Basis'!$C$8:$CB$74,34,FALSE)</f>
        <v>#N/A</v>
      </c>
    </row>
    <row r="43" spans="1:4" x14ac:dyDescent="0.2">
      <c r="A43" s="3"/>
      <c r="B43" s="3"/>
      <c r="C43" s="5"/>
      <c r="D43" s="5"/>
    </row>
    <row r="44" spans="1:4" x14ac:dyDescent="0.2">
      <c r="A44" s="63" t="s">
        <v>160</v>
      </c>
      <c r="B44" s="61" t="s">
        <v>184</v>
      </c>
      <c r="C44" s="62"/>
      <c r="D44" s="62"/>
    </row>
    <row r="45" spans="1:4" x14ac:dyDescent="0.2">
      <c r="A45" s="3"/>
      <c r="B45" s="3"/>
      <c r="C45" s="5"/>
      <c r="D45" s="5"/>
    </row>
    <row r="46" spans="1:4" x14ac:dyDescent="0.2">
      <c r="A46" s="30"/>
      <c r="B46" s="30" t="s">
        <v>180</v>
      </c>
      <c r="C46" s="74">
        <f>HLOOKUP(C$9,'SL Weite Basis'!$C$8:$CB$74,38,FALSE)</f>
        <v>198379.10663999998</v>
      </c>
      <c r="D46" s="44" t="e">
        <f>HLOOKUP(D$9,'SL Weite Basis'!$C$8:$CB$74,38,FALSE)</f>
        <v>#N/A</v>
      </c>
    </row>
    <row r="47" spans="1:4" x14ac:dyDescent="0.2">
      <c r="A47" s="3"/>
      <c r="B47" s="3" t="s">
        <v>187</v>
      </c>
      <c r="C47" s="5"/>
      <c r="D47" s="5" t="e">
        <f>HLOOKUP(D$9,'SL Weite Basis'!$C$8:$CB$74,39,FALSE)</f>
        <v>#N/A</v>
      </c>
    </row>
    <row r="48" spans="1:4" x14ac:dyDescent="0.2">
      <c r="A48" s="3"/>
      <c r="B48" s="38" t="s">
        <v>192</v>
      </c>
      <c r="C48" s="12">
        <f>HLOOKUP(C$9,'SL Weite Basis'!$C$8:$CB$74,40,FALSE)</f>
        <v>29</v>
      </c>
      <c r="D48" s="5"/>
    </row>
    <row r="49" spans="1:4" x14ac:dyDescent="0.2">
      <c r="A49" s="3"/>
      <c r="B49" s="38" t="s">
        <v>189</v>
      </c>
      <c r="C49" s="5"/>
      <c r="D49" s="5" t="e">
        <f>HLOOKUP(D$9,'SL Weite Basis'!$C$8:$CB$74,41,FALSE)</f>
        <v>#N/A</v>
      </c>
    </row>
    <row r="50" spans="1:4" x14ac:dyDescent="0.2">
      <c r="A50" s="3"/>
      <c r="B50" s="38"/>
      <c r="C50" s="5"/>
      <c r="D50" s="5"/>
    </row>
    <row r="51" spans="1:4" x14ac:dyDescent="0.2">
      <c r="A51" s="21"/>
      <c r="B51" s="32" t="s">
        <v>190</v>
      </c>
      <c r="C51" s="15"/>
      <c r="D51" s="15" t="e">
        <f>HLOOKUP(D$9,'SL Weite Basis'!$C$8:$CB$74,43,FALSE)</f>
        <v>#N/A</v>
      </c>
    </row>
    <row r="52" spans="1:4" x14ac:dyDescent="0.2">
      <c r="A52" s="3"/>
      <c r="B52" s="3"/>
      <c r="C52" s="5"/>
      <c r="D52" s="5"/>
    </row>
    <row r="53" spans="1:4" x14ac:dyDescent="0.2">
      <c r="A53" s="63" t="s">
        <v>171</v>
      </c>
      <c r="B53" s="61" t="s">
        <v>194</v>
      </c>
      <c r="C53" s="62"/>
      <c r="D53" s="62"/>
    </row>
    <row r="54" spans="1:4" x14ac:dyDescent="0.2">
      <c r="A54" s="3"/>
      <c r="B54" s="3"/>
      <c r="C54" s="5"/>
      <c r="D54" s="5"/>
    </row>
    <row r="55" spans="1:4" x14ac:dyDescent="0.2">
      <c r="A55" s="3"/>
      <c r="B55" s="3" t="s">
        <v>195</v>
      </c>
      <c r="C55" s="12">
        <f>HLOOKUP(C$9,'SL Weite Basis'!$C$8:$CB$74,47,FALSE)</f>
        <v>320</v>
      </c>
      <c r="D55" s="5"/>
    </row>
    <row r="56" spans="1:4" x14ac:dyDescent="0.2">
      <c r="A56" s="38"/>
      <c r="B56" s="38"/>
      <c r="C56" s="5"/>
      <c r="D56" s="5"/>
    </row>
    <row r="57" spans="1:4" x14ac:dyDescent="0.2">
      <c r="A57" s="21"/>
      <c r="B57" s="21" t="s">
        <v>196</v>
      </c>
      <c r="C57" s="15"/>
      <c r="D57" s="15" t="e">
        <f>HLOOKUP(D$9,'SL Weite Basis'!$C$8:$CB$74,49,FALSE)</f>
        <v>#N/A</v>
      </c>
    </row>
    <row r="58" spans="1:4" x14ac:dyDescent="0.2">
      <c r="A58" s="3"/>
      <c r="B58" s="3"/>
      <c r="C58" s="5"/>
      <c r="D58" s="5"/>
    </row>
    <row r="59" spans="1:4" x14ac:dyDescent="0.2">
      <c r="A59" s="63" t="s">
        <v>172</v>
      </c>
      <c r="B59" s="61" t="s">
        <v>193</v>
      </c>
      <c r="C59" s="62"/>
      <c r="D59" s="62"/>
    </row>
    <row r="60" spans="1:4" x14ac:dyDescent="0.2">
      <c r="A60" s="3"/>
      <c r="B60" s="3"/>
      <c r="C60" s="5"/>
      <c r="D60" s="5"/>
    </row>
    <row r="61" spans="1:4" x14ac:dyDescent="0.2">
      <c r="A61" s="63" t="s">
        <v>173</v>
      </c>
      <c r="B61" s="61" t="s">
        <v>156</v>
      </c>
      <c r="C61" s="68"/>
      <c r="D61" s="68"/>
    </row>
    <row r="62" spans="1:4" x14ac:dyDescent="0.2">
      <c r="A62" s="3"/>
      <c r="B62" s="3"/>
      <c r="C62" s="5"/>
      <c r="D62" s="5"/>
    </row>
    <row r="63" spans="1:4" x14ac:dyDescent="0.2">
      <c r="A63" s="3"/>
      <c r="B63" s="3" t="s">
        <v>158</v>
      </c>
      <c r="C63" s="5"/>
      <c r="D63" s="66" t="e">
        <f>HLOOKUP(D$9,'SL Weite Basis'!$C$8:$CB$74,55,FALSE)</f>
        <v>#N/A</v>
      </c>
    </row>
    <row r="64" spans="1:4" x14ac:dyDescent="0.2">
      <c r="A64" s="3"/>
      <c r="B64" s="3"/>
      <c r="C64" s="5"/>
      <c r="D64" s="66"/>
    </row>
    <row r="65" spans="1:4" x14ac:dyDescent="0.2">
      <c r="A65" s="3"/>
      <c r="B65" s="3" t="s">
        <v>159</v>
      </c>
      <c r="C65" s="5"/>
      <c r="D65" s="66" t="e">
        <f>HLOOKUP(D$9,'SL Weite Basis'!$C$8:$CB$74,57,FALSE)</f>
        <v>#N/A</v>
      </c>
    </row>
    <row r="66" spans="1:4" x14ac:dyDescent="0.2">
      <c r="A66" s="4"/>
      <c r="B66" s="4" t="s">
        <v>163</v>
      </c>
      <c r="C66" s="5"/>
      <c r="D66" s="5" t="e">
        <f>HLOOKUP(D$9,'SL Weite Basis'!$C$8:$CB$74,58,FALSE)</f>
        <v>#N/A</v>
      </c>
    </row>
    <row r="67" spans="1:4" x14ac:dyDescent="0.2">
      <c r="A67" s="3"/>
      <c r="B67" s="3"/>
      <c r="C67" s="5"/>
      <c r="D67" s="5"/>
    </row>
    <row r="68" spans="1:4" x14ac:dyDescent="0.2">
      <c r="A68" s="3"/>
      <c r="B68" s="3"/>
      <c r="C68" s="5"/>
      <c r="D68" s="5"/>
    </row>
    <row r="69" spans="1:4" ht="15.75" x14ac:dyDescent="0.25">
      <c r="A69" s="69" t="s">
        <v>104</v>
      </c>
      <c r="B69" s="69" t="s">
        <v>161</v>
      </c>
      <c r="C69" s="70"/>
      <c r="D69" s="70"/>
    </row>
    <row r="70" spans="1:4" x14ac:dyDescent="0.2">
      <c r="A70" s="3"/>
      <c r="B70" s="3"/>
      <c r="C70" s="5"/>
      <c r="D70" s="5"/>
    </row>
    <row r="71" spans="1:4" x14ac:dyDescent="0.2">
      <c r="A71" s="21"/>
      <c r="B71" s="32" t="s">
        <v>193</v>
      </c>
      <c r="C71" s="15">
        <f>HLOOKUP(C$9,'SL Weite Basis'!$C$8:$CB$74,63,FALSE)</f>
        <v>40227757.283259898</v>
      </c>
      <c r="D71" s="15" t="e">
        <f>HLOOKUP(D$9,'SL Weite Basis'!$C$8:$CB$74,63,FALSE)</f>
        <v>#N/A</v>
      </c>
    </row>
    <row r="72" spans="1:4" x14ac:dyDescent="0.2">
      <c r="A72" s="21"/>
      <c r="B72" s="32"/>
      <c r="C72" s="5"/>
      <c r="D72" s="15"/>
    </row>
    <row r="73" spans="1:4" x14ac:dyDescent="0.2">
      <c r="A73" s="3"/>
      <c r="B73" s="38" t="s">
        <v>156</v>
      </c>
      <c r="C73" s="5">
        <f>HLOOKUP(C$9,'SL Weite Basis'!$C$8:$CB$74,65,FALSE)</f>
        <v>-1911090.0027779161</v>
      </c>
      <c r="D73" s="5" t="e">
        <f>HLOOKUP(D$9,'SL Weite Basis'!$C$8:$CB$74,65,FALSE)</f>
        <v>#N/A</v>
      </c>
    </row>
    <row r="74" spans="1:4" x14ac:dyDescent="0.2">
      <c r="A74" s="3"/>
      <c r="B74" s="38"/>
      <c r="C74" s="5"/>
      <c r="D74" s="5"/>
    </row>
    <row r="75" spans="1:4" x14ac:dyDescent="0.2">
      <c r="A75" s="54"/>
      <c r="B75" s="54" t="s">
        <v>197</v>
      </c>
      <c r="C75" s="55">
        <f>HLOOKUP(C$9,'SL Weite Basis'!$C$8:$CB$74,67,FALSE)</f>
        <v>38316400</v>
      </c>
      <c r="D75" s="55" t="e">
        <f>HLOOKUP(D$9,'SL Weite Basis'!$C$8:$CB$74,67,FALSE)</f>
        <v>#N/A</v>
      </c>
    </row>
  </sheetData>
  <sheetProtection algorithmName="SHA-512" hashValue="ktO/qC7120MWNASdYecD1t41iBScIotmVRpCZxPt3vRoPdVWgA9EKb0qE21GoJaxRsYLu8E+epejXbNm9MpK6w==" saltValue="+iWo5iFBEohorZc+W3ynyw==" spinCount="100000"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7"/>
  <sheetViews>
    <sheetView showGridLines="0" workbookViewId="0">
      <selection activeCell="A99" sqref="A99"/>
    </sheetView>
  </sheetViews>
  <sheetFormatPr baseColWidth="10" defaultRowHeight="12.75" x14ac:dyDescent="0.2"/>
  <cols>
    <col min="1" max="1" width="4.140625" bestFit="1" customWidth="1"/>
    <col min="2" max="2" width="59.5703125" bestFit="1" customWidth="1"/>
    <col min="3" max="3" width="22.42578125" customWidth="1"/>
    <col min="4" max="4" width="22.42578125" bestFit="1" customWidth="1"/>
  </cols>
  <sheetData>
    <row r="1" spans="1:4" x14ac:dyDescent="0.2">
      <c r="A1" s="83" t="s">
        <v>217</v>
      </c>
    </row>
    <row r="2" spans="1:4" x14ac:dyDescent="0.2">
      <c r="A2" t="s">
        <v>218</v>
      </c>
    </row>
    <row r="5" spans="1:4" ht="26.25" x14ac:dyDescent="0.4">
      <c r="A5" s="18" t="s">
        <v>128</v>
      </c>
      <c r="B5" s="3"/>
    </row>
    <row r="6" spans="1:4" x14ac:dyDescent="0.2">
      <c r="A6" s="3"/>
      <c r="B6" s="3"/>
    </row>
    <row r="7" spans="1:4" x14ac:dyDescent="0.2">
      <c r="A7" s="3"/>
      <c r="B7" s="20" t="s">
        <v>226</v>
      </c>
    </row>
    <row r="8" spans="1:4" s="84" customFormat="1" x14ac:dyDescent="0.2">
      <c r="A8" s="38"/>
      <c r="B8" s="38"/>
    </row>
    <row r="9" spans="1:4" x14ac:dyDescent="0.2">
      <c r="A9" s="21"/>
      <c r="B9" s="21"/>
      <c r="C9" s="91" t="s">
        <v>82</v>
      </c>
      <c r="D9" s="91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102</v>
      </c>
      <c r="B11" s="23" t="s">
        <v>129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38"/>
      <c r="B13" s="59" t="s">
        <v>83</v>
      </c>
      <c r="C13" s="60">
        <f>HLOOKUP(C$9,'SL Schule Basis'!$C$8:$CB$65,5,FALSE)</f>
        <v>510734</v>
      </c>
      <c r="D13" s="60" t="e">
        <f>HLOOKUP(D$9,'SL Schule Basis'!$C$8:$CB$65,5,FALSE)</f>
        <v>#N/A</v>
      </c>
    </row>
    <row r="14" spans="1:4" x14ac:dyDescent="0.2">
      <c r="A14" s="30"/>
      <c r="B14" s="31"/>
      <c r="C14" s="32"/>
      <c r="D14" s="32"/>
    </row>
    <row r="15" spans="1:4" x14ac:dyDescent="0.2">
      <c r="A15" s="38"/>
      <c r="B15" s="30" t="s">
        <v>130</v>
      </c>
      <c r="C15" s="51">
        <f>HLOOKUP(C$9,'SL Schule Basis'!$C$8:$CB$65,7,FALSE)</f>
        <v>56403</v>
      </c>
      <c r="D15" s="49" t="e">
        <f>HLOOKUP(D$9,'SL Schule Basis'!$C$8:$CB$65,7,FALSE)</f>
        <v>#N/A</v>
      </c>
    </row>
    <row r="16" spans="1:4" x14ac:dyDescent="0.2">
      <c r="A16" s="38"/>
      <c r="B16" s="30" t="s">
        <v>131</v>
      </c>
      <c r="C16" s="51">
        <f>HLOOKUP(C$9,'SL Schule Basis'!$C$8:$CB$65,8,FALSE)</f>
        <v>1394</v>
      </c>
      <c r="D16" s="49" t="e">
        <f>HLOOKUP(D$9,'SL Schule Basis'!$C$8:$CB$65,8,FALSE)</f>
        <v>#N/A</v>
      </c>
    </row>
    <row r="17" spans="1:4" x14ac:dyDescent="0.2">
      <c r="A17" s="38"/>
      <c r="B17" s="30"/>
      <c r="C17" s="5"/>
      <c r="D17" s="5"/>
    </row>
    <row r="18" spans="1:4" x14ac:dyDescent="0.2">
      <c r="A18" s="38"/>
      <c r="B18" s="30" t="s">
        <v>133</v>
      </c>
      <c r="C18" s="5">
        <f>HLOOKUP(C$9,'SL Schule Basis'!$C$8:$CB$65,10,FALSE)</f>
        <v>1040945062.1900003</v>
      </c>
      <c r="D18" s="12" t="e">
        <f>HLOOKUP(D$9,'SL Schule Basis'!$C$8:$CB$65,10,FALSE)</f>
        <v>#N/A</v>
      </c>
    </row>
    <row r="19" spans="1:4" x14ac:dyDescent="0.2">
      <c r="A19" s="38"/>
      <c r="B19" s="30" t="s">
        <v>134</v>
      </c>
      <c r="C19" s="5">
        <f>HLOOKUP(C$9,'SL Schule Basis'!$C$8:$CB$65,11,FALSE)</f>
        <v>1404200</v>
      </c>
      <c r="D19" s="12" t="e">
        <f>HLOOKUP(D$9,'SL Schule Basis'!$C$8:$CB$65,11,FALSE)</f>
        <v>#N/A</v>
      </c>
    </row>
    <row r="20" spans="1:4" x14ac:dyDescent="0.2">
      <c r="A20" s="38"/>
      <c r="B20" s="30" t="s">
        <v>135</v>
      </c>
      <c r="C20" s="5">
        <f>HLOOKUP(C$9,'SL Schule Basis'!$C$8:$CB$65,12,FALSE)</f>
        <v>6030077.4899999993</v>
      </c>
      <c r="D20" s="12" t="e">
        <f>HLOOKUP(D$9,'SL Schule Basis'!$C$8:$CB$65,12,FALSE)</f>
        <v>#N/A</v>
      </c>
    </row>
    <row r="21" spans="1:4" x14ac:dyDescent="0.2">
      <c r="A21" s="38"/>
      <c r="B21" s="30" t="s">
        <v>211</v>
      </c>
      <c r="C21" s="5">
        <f>HLOOKUP(C$9,'SL Schule Basis'!$C$8:$CB$65,13,FALSE)</f>
        <v>3059273.0900000003</v>
      </c>
      <c r="D21" s="12" t="e">
        <f>HLOOKUP(D$9,'SL Schule Basis'!$C$8:$CB$65,13,FALSE)</f>
        <v>#N/A</v>
      </c>
    </row>
    <row r="22" spans="1:4" x14ac:dyDescent="0.2">
      <c r="A22" s="38"/>
      <c r="B22" s="30" t="s">
        <v>82</v>
      </c>
      <c r="C22" s="5">
        <f>HLOOKUP(C$9,'SL Schule Basis'!$C$8:$CB$65,14,FALSE)</f>
        <v>1051438612.7700003</v>
      </c>
      <c r="D22" s="5" t="e">
        <f>HLOOKUP(D$9,'SL Schule Basis'!$C$8:$CB$65,14,FALSE)</f>
        <v>#N/A</v>
      </c>
    </row>
    <row r="23" spans="1:4" x14ac:dyDescent="0.2">
      <c r="A23" s="38"/>
      <c r="B23" s="30"/>
      <c r="C23" s="5"/>
      <c r="D23" s="5"/>
    </row>
    <row r="24" spans="1:4" x14ac:dyDescent="0.2">
      <c r="A24" s="38"/>
      <c r="B24" s="30" t="s">
        <v>151</v>
      </c>
      <c r="C24" s="5">
        <f>HLOOKUP(C$9,'SL Schule Basis'!$C$8:$CB$65,16,FALSE)</f>
        <v>18641.537024094469</v>
      </c>
      <c r="D24" s="5"/>
    </row>
    <row r="25" spans="1:4" x14ac:dyDescent="0.2">
      <c r="A25" s="38"/>
      <c r="B25" s="30"/>
      <c r="C25" s="5"/>
      <c r="D25" s="5"/>
    </row>
    <row r="26" spans="1:4" x14ac:dyDescent="0.2">
      <c r="A26" s="3"/>
      <c r="B26" s="3"/>
      <c r="C26" s="5"/>
      <c r="D26" s="5"/>
    </row>
    <row r="27" spans="1:4" ht="15.75" x14ac:dyDescent="0.25">
      <c r="A27" s="22" t="s">
        <v>103</v>
      </c>
      <c r="B27" s="22" t="s">
        <v>139</v>
      </c>
      <c r="C27" s="46"/>
      <c r="D27" s="46"/>
    </row>
    <row r="28" spans="1:4" x14ac:dyDescent="0.2">
      <c r="A28" s="3"/>
      <c r="B28" s="3"/>
      <c r="C28" s="5"/>
      <c r="D28" s="5"/>
    </row>
    <row r="29" spans="1:4" x14ac:dyDescent="0.2">
      <c r="A29" s="63" t="s">
        <v>145</v>
      </c>
      <c r="B29" s="61" t="s">
        <v>144</v>
      </c>
      <c r="C29" s="62"/>
      <c r="D29" s="62"/>
    </row>
    <row r="30" spans="1:4" x14ac:dyDescent="0.2">
      <c r="A30" s="3"/>
      <c r="B30" s="3"/>
      <c r="C30" s="5"/>
      <c r="D30" s="5"/>
    </row>
    <row r="31" spans="1:4" x14ac:dyDescent="0.2">
      <c r="A31" s="3"/>
      <c r="B31" s="3" t="s">
        <v>147</v>
      </c>
      <c r="C31" s="10">
        <f>HLOOKUP(C$9,'SL Schule Basis'!$C$8:$CB$65,23,FALSE)</f>
        <v>0.65</v>
      </c>
      <c r="D31" s="5"/>
    </row>
    <row r="32" spans="1:4" x14ac:dyDescent="0.2">
      <c r="A32" s="3"/>
      <c r="B32" s="38" t="s">
        <v>148</v>
      </c>
      <c r="C32" s="10">
        <f>HLOOKUP(C$9,'SL Schule Basis'!$C$8:$CB$65,24,FALSE)</f>
        <v>0.2</v>
      </c>
      <c r="D32" s="5"/>
    </row>
    <row r="33" spans="1:4" x14ac:dyDescent="0.2">
      <c r="A33" s="3"/>
      <c r="B33" s="38" t="s">
        <v>149</v>
      </c>
      <c r="C33" s="64">
        <f>HLOOKUP(C$9,'SL Schule Basis'!$C$8:$CB$65,25,FALSE)</f>
        <v>0.11043517760713013</v>
      </c>
      <c r="D33" s="64" t="e">
        <f>HLOOKUP(D$9,'SL Schule Basis'!$C$8:$CB$65,25,FALSE)</f>
        <v>#N/A</v>
      </c>
    </row>
    <row r="34" spans="1:4" x14ac:dyDescent="0.2">
      <c r="A34" s="38"/>
      <c r="B34" s="30" t="s">
        <v>132</v>
      </c>
      <c r="C34" s="5"/>
      <c r="D34" s="71" t="e">
        <f>HLOOKUP(D$9,'SL Schule Basis'!$C$8:$CB$65,26,FALSE)</f>
        <v>#N/A</v>
      </c>
    </row>
    <row r="35" spans="1:4" x14ac:dyDescent="0.2">
      <c r="A35" s="3"/>
      <c r="B35" s="38" t="s">
        <v>150</v>
      </c>
      <c r="C35" s="5"/>
      <c r="D35" s="5" t="e">
        <f>HLOOKUP(D$9,'SL Schule Basis'!$C$8:$CB$65,27,FALSE)</f>
        <v>#N/A</v>
      </c>
    </row>
    <row r="36" spans="1:4" x14ac:dyDescent="0.2">
      <c r="A36" s="3"/>
      <c r="B36" s="38"/>
      <c r="C36" s="5"/>
      <c r="D36" s="5"/>
    </row>
    <row r="37" spans="1:4" x14ac:dyDescent="0.2">
      <c r="A37" s="21"/>
      <c r="B37" s="32" t="s">
        <v>152</v>
      </c>
      <c r="C37" s="15"/>
      <c r="D37" s="15" t="e">
        <f>HLOOKUP(D$9,'SL Schule Basis'!$C$8:$CB$65,29,FALSE)</f>
        <v>#N/A</v>
      </c>
    </row>
    <row r="38" spans="1:4" x14ac:dyDescent="0.2">
      <c r="A38" s="3"/>
      <c r="B38" s="3"/>
      <c r="C38" s="5"/>
      <c r="D38" s="5"/>
    </row>
    <row r="39" spans="1:4" x14ac:dyDescent="0.2">
      <c r="A39" s="63" t="s">
        <v>146</v>
      </c>
      <c r="B39" s="61" t="s">
        <v>140</v>
      </c>
      <c r="C39" s="62"/>
      <c r="D39" s="62"/>
    </row>
    <row r="40" spans="1:4" x14ac:dyDescent="0.2">
      <c r="A40" s="3"/>
      <c r="B40" s="3"/>
      <c r="C40" s="5"/>
      <c r="D40" s="5"/>
    </row>
    <row r="41" spans="1:4" x14ac:dyDescent="0.2">
      <c r="A41" s="3"/>
      <c r="B41" s="3" t="s">
        <v>142</v>
      </c>
      <c r="C41" s="12">
        <f>HLOOKUP(C$9,'SL Schule Basis'!$C$8:$CB$65,33,FALSE)</f>
        <v>11000</v>
      </c>
      <c r="D41" s="5"/>
    </row>
    <row r="42" spans="1:4" x14ac:dyDescent="0.2">
      <c r="A42" s="3"/>
      <c r="B42" s="38" t="s">
        <v>143</v>
      </c>
      <c r="C42" s="10">
        <f>HLOOKUP(C$9,'SL Schule Basis'!$C$8:$CB$65,34,FALSE)</f>
        <v>0.65</v>
      </c>
      <c r="D42" s="5"/>
    </row>
    <row r="43" spans="1:4" x14ac:dyDescent="0.2">
      <c r="A43" s="3"/>
      <c r="B43" s="3" t="s">
        <v>141</v>
      </c>
      <c r="C43" s="64">
        <f>HLOOKUP(C$9,'SL Schule Basis'!$C$8:$CB$65,35,FALSE)</f>
        <v>2.7294051306550964E-3</v>
      </c>
      <c r="D43" s="64" t="e">
        <f>HLOOKUP(D$9,'SL Schule Basis'!$C$8:$CB$65,35,FALSE)</f>
        <v>#N/A</v>
      </c>
    </row>
    <row r="44" spans="1:4" x14ac:dyDescent="0.2">
      <c r="A44" s="3"/>
      <c r="B44" s="3"/>
      <c r="C44" s="5"/>
      <c r="D44" s="5"/>
    </row>
    <row r="45" spans="1:4" x14ac:dyDescent="0.2">
      <c r="A45" s="21"/>
      <c r="B45" s="32" t="s">
        <v>153</v>
      </c>
      <c r="C45" s="15"/>
      <c r="D45" s="15" t="e">
        <f>HLOOKUP(D$9,'SL Schule Basis'!$C$8:$CB$65,37,FALSE)</f>
        <v>#N/A</v>
      </c>
    </row>
    <row r="46" spans="1:4" x14ac:dyDescent="0.2">
      <c r="A46" s="3"/>
      <c r="B46" s="3"/>
      <c r="C46" s="5"/>
      <c r="D46" s="5"/>
    </row>
    <row r="47" spans="1:4" x14ac:dyDescent="0.2">
      <c r="A47" s="63" t="s">
        <v>154</v>
      </c>
      <c r="B47" s="61" t="s">
        <v>155</v>
      </c>
      <c r="C47" s="62"/>
      <c r="D47" s="62" t="e">
        <f>HLOOKUP(D$9,'SL Schule Basis'!$C$8:$CB$65,39,FALSE)</f>
        <v>#N/A</v>
      </c>
    </row>
    <row r="48" spans="1:4" x14ac:dyDescent="0.2">
      <c r="A48" s="3"/>
      <c r="B48" s="3"/>
      <c r="C48" s="5"/>
      <c r="D48" s="5"/>
    </row>
    <row r="49" spans="1:4" x14ac:dyDescent="0.2">
      <c r="A49" s="63" t="s">
        <v>160</v>
      </c>
      <c r="B49" s="61" t="s">
        <v>156</v>
      </c>
      <c r="C49" s="68"/>
      <c r="D49" s="68"/>
    </row>
    <row r="50" spans="1:4" x14ac:dyDescent="0.2">
      <c r="A50" s="3"/>
      <c r="B50" s="3"/>
      <c r="C50" s="5"/>
      <c r="D50" s="5"/>
    </row>
    <row r="51" spans="1:4" x14ac:dyDescent="0.2">
      <c r="A51" s="3"/>
      <c r="B51" s="3" t="s">
        <v>158</v>
      </c>
      <c r="C51" s="5"/>
      <c r="D51" s="66" t="e">
        <f>HLOOKUP(D$9,'SL Schule Basis'!$C$8:$CB$65,43,FALSE)</f>
        <v>#N/A</v>
      </c>
    </row>
    <row r="52" spans="1:4" x14ac:dyDescent="0.2">
      <c r="A52" s="3"/>
      <c r="B52" s="3"/>
      <c r="C52" s="5"/>
      <c r="D52" s="66"/>
    </row>
    <row r="53" spans="1:4" x14ac:dyDescent="0.2">
      <c r="A53" s="3"/>
      <c r="B53" s="3" t="s">
        <v>159</v>
      </c>
      <c r="C53" s="5"/>
      <c r="D53" s="66" t="e">
        <f>HLOOKUP(D$9,'SL Schule Basis'!$C$8:$CB$65,45,FALSE)</f>
        <v>#N/A</v>
      </c>
    </row>
    <row r="54" spans="1:4" x14ac:dyDescent="0.2">
      <c r="A54" s="4"/>
      <c r="B54" s="4" t="s">
        <v>163</v>
      </c>
      <c r="C54" s="5"/>
      <c r="D54" s="5" t="e">
        <f>HLOOKUP(D$9,'SL Schule Basis'!$C$8:$CB$65,46,FALSE)</f>
        <v>#N/A</v>
      </c>
    </row>
    <row r="55" spans="1:4" x14ac:dyDescent="0.2">
      <c r="A55" s="3"/>
      <c r="B55" s="3"/>
      <c r="C55" s="5"/>
      <c r="D55" s="5"/>
    </row>
    <row r="56" spans="1:4" x14ac:dyDescent="0.2">
      <c r="A56" s="3"/>
      <c r="B56" s="3"/>
      <c r="C56" s="5"/>
      <c r="D56" s="5"/>
    </row>
    <row r="57" spans="1:4" ht="15.75" x14ac:dyDescent="0.25">
      <c r="A57" s="69" t="s">
        <v>104</v>
      </c>
      <c r="B57" s="69" t="s">
        <v>161</v>
      </c>
      <c r="C57" s="70"/>
      <c r="D57" s="70"/>
    </row>
    <row r="58" spans="1:4" x14ac:dyDescent="0.2">
      <c r="A58" s="3"/>
      <c r="B58" s="3"/>
      <c r="C58" s="5"/>
      <c r="D58" s="5"/>
    </row>
    <row r="59" spans="1:4" x14ac:dyDescent="0.2">
      <c r="A59" s="3"/>
      <c r="B59" s="3" t="s">
        <v>144</v>
      </c>
      <c r="C59" s="5">
        <f>HLOOKUP(C$9,'SL Schule Basis'!$C$8:$CB$65,51,FALSE)</f>
        <v>21494460.363277435</v>
      </c>
      <c r="D59" s="5" t="e">
        <f>HLOOKUP(D$9,'SL Schule Basis'!$C$8:$CB$65,51,FALSE)</f>
        <v>#N/A</v>
      </c>
    </row>
    <row r="60" spans="1:4" x14ac:dyDescent="0.2">
      <c r="A60" s="3"/>
      <c r="B60" s="3" t="s">
        <v>140</v>
      </c>
      <c r="C60" s="5">
        <f>HLOOKUP(C$9,'SL Schule Basis'!$C$8:$CB$65,52,FALSE)</f>
        <v>1147180.7052203298</v>
      </c>
      <c r="D60" s="5" t="e">
        <f>HLOOKUP(D$9,'SL Schule Basis'!$C$8:$CB$65,52,FALSE)</f>
        <v>#N/A</v>
      </c>
    </row>
    <row r="61" spans="1:4" x14ac:dyDescent="0.2">
      <c r="A61" s="3"/>
      <c r="B61" s="3"/>
      <c r="C61" s="5"/>
      <c r="D61" s="5"/>
    </row>
    <row r="62" spans="1:4" x14ac:dyDescent="0.2">
      <c r="A62" s="21"/>
      <c r="B62" s="32" t="s">
        <v>155</v>
      </c>
      <c r="C62" s="15">
        <f>HLOOKUP(C$9,'SL Schule Basis'!$C$8:$CB$65,54,FALSE)</f>
        <v>32715008.933855627</v>
      </c>
      <c r="D62" s="15" t="e">
        <f>HLOOKUP(D$9,'SL Schule Basis'!$C$8:$CB$65,54,FALSE)</f>
        <v>#N/A</v>
      </c>
    </row>
    <row r="63" spans="1:4" x14ac:dyDescent="0.2">
      <c r="A63" s="21"/>
      <c r="B63" s="32"/>
      <c r="C63" s="15"/>
      <c r="D63" s="15"/>
    </row>
    <row r="64" spans="1:4" x14ac:dyDescent="0.2">
      <c r="A64" s="3"/>
      <c r="B64" s="38" t="s">
        <v>156</v>
      </c>
      <c r="C64" s="5">
        <f>HLOOKUP(C$9,'SL Schule Basis'!$C$8:$CB$65,56,FALSE)</f>
        <v>-929425.60181771254</v>
      </c>
      <c r="D64" s="5" t="e">
        <f>HLOOKUP(D$9,'SL Schule Basis'!$C$8:$CB$65,56,FALSE)</f>
        <v>#N/A</v>
      </c>
    </row>
    <row r="65" spans="1:4" x14ac:dyDescent="0.2">
      <c r="A65" s="3"/>
      <c r="B65" s="38"/>
      <c r="C65" s="5"/>
      <c r="D65" s="5"/>
    </row>
    <row r="66" spans="1:4" x14ac:dyDescent="0.2">
      <c r="A66" s="54"/>
      <c r="B66" s="54" t="s">
        <v>162</v>
      </c>
      <c r="C66" s="55">
        <f>HLOOKUP(C$9,'SL Schule Basis'!$C$8:$CB$65,58,FALSE)</f>
        <v>31785700</v>
      </c>
      <c r="D66" s="55" t="e">
        <f>HLOOKUP(D$9,'SL Schule Basis'!$C$8:$CB$65,58,FALSE)</f>
        <v>#N/A</v>
      </c>
    </row>
    <row r="67" spans="1:4" x14ac:dyDescent="0.2">
      <c r="A67" s="3"/>
      <c r="B67" s="3"/>
      <c r="C67" s="5"/>
      <c r="D67" s="5"/>
    </row>
  </sheetData>
  <sheetProtection algorithmName="SHA-512" hashValue="ya43mU8iuHStbfYgKvSi1N0JeegsRj4uBQzAAzxNsELajejdNXSxaftaYTZPR7GFPwJ/FTRmMOTiZDCNzit95Q==" saltValue="pzLNWumTUvmrmAHRPU7cag==" spinCount="100000" sheet="1" selectLockedCells="1"/>
  <pageMargins left="0.31496062992125984" right="0.31496062992125984" top="0.59055118110236227" bottom="0.59055118110236227" header="0.31496062992125984" footer="0.31496062992125984"/>
  <pageSetup paperSize="9" scale="8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6"/>
  <sheetViews>
    <sheetView showGridLines="0" workbookViewId="0">
      <selection activeCell="A134" sqref="A134"/>
    </sheetView>
  </sheetViews>
  <sheetFormatPr baseColWidth="10" defaultRowHeight="12.75" x14ac:dyDescent="0.2"/>
  <cols>
    <col min="1" max="1" width="4.140625" bestFit="1" customWidth="1"/>
    <col min="2" max="2" width="50.42578125" customWidth="1"/>
    <col min="3" max="3" width="22.42578125" customWidth="1"/>
    <col min="4" max="4" width="22.42578125" bestFit="1" customWidth="1"/>
  </cols>
  <sheetData>
    <row r="1" spans="1:4" x14ac:dyDescent="0.2">
      <c r="A1" s="83" t="s">
        <v>217</v>
      </c>
    </row>
    <row r="2" spans="1:4" x14ac:dyDescent="0.2">
      <c r="A2" t="s">
        <v>218</v>
      </c>
    </row>
    <row r="5" spans="1:4" ht="26.25" x14ac:dyDescent="0.4">
      <c r="A5" s="18" t="s">
        <v>200</v>
      </c>
      <c r="B5" s="3"/>
    </row>
    <row r="6" spans="1:4" x14ac:dyDescent="0.2">
      <c r="A6" s="3"/>
      <c r="B6" s="3"/>
    </row>
    <row r="7" spans="1:4" x14ac:dyDescent="0.2">
      <c r="A7" s="3"/>
      <c r="B7" s="20" t="s">
        <v>226</v>
      </c>
    </row>
    <row r="8" spans="1:4" s="84" customFormat="1" x14ac:dyDescent="0.2">
      <c r="A8" s="38"/>
      <c r="B8" s="38"/>
    </row>
    <row r="9" spans="1:4" x14ac:dyDescent="0.2">
      <c r="A9" s="21"/>
      <c r="B9" s="21"/>
      <c r="C9" s="91" t="s">
        <v>82</v>
      </c>
      <c r="D9" s="91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102</v>
      </c>
      <c r="B11" s="23" t="s">
        <v>129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38"/>
      <c r="B13" s="59" t="s">
        <v>83</v>
      </c>
      <c r="C13" s="60">
        <f>HLOOKUP(C$9,'SL Sozio Basis'!$C$8:$CB$55,5,FALSE)</f>
        <v>510734</v>
      </c>
      <c r="D13" s="60" t="e">
        <f>HLOOKUP(D$9,'SL Sozio Basis'!$C$8:$CB$55,5,FALSE)</f>
        <v>#N/A</v>
      </c>
    </row>
    <row r="14" spans="1:4" x14ac:dyDescent="0.2">
      <c r="A14" s="38"/>
      <c r="B14" s="30"/>
      <c r="C14" s="5"/>
      <c r="D14" s="5"/>
    </row>
    <row r="15" spans="1:4" x14ac:dyDescent="0.2">
      <c r="A15" s="3"/>
      <c r="B15" s="3"/>
      <c r="C15" s="5"/>
      <c r="D15" s="5"/>
    </row>
    <row r="16" spans="1:4" ht="15.75" x14ac:dyDescent="0.25">
      <c r="A16" s="22" t="s">
        <v>103</v>
      </c>
      <c r="B16" s="22" t="s">
        <v>201</v>
      </c>
      <c r="C16" s="46"/>
      <c r="D16" s="46"/>
    </row>
    <row r="17" spans="1:4" x14ac:dyDescent="0.2">
      <c r="A17" s="3"/>
      <c r="B17" s="3"/>
      <c r="C17" s="5"/>
      <c r="D17" s="5"/>
    </row>
    <row r="18" spans="1:4" x14ac:dyDescent="0.2">
      <c r="A18" s="63" t="s">
        <v>145</v>
      </c>
      <c r="B18" s="61" t="s">
        <v>202</v>
      </c>
      <c r="C18" s="62"/>
      <c r="D18" s="62"/>
    </row>
    <row r="19" spans="1:4" x14ac:dyDescent="0.2">
      <c r="A19" s="3"/>
      <c r="B19" s="3"/>
      <c r="C19" s="5"/>
      <c r="D19" s="5"/>
    </row>
    <row r="20" spans="1:4" x14ac:dyDescent="0.2">
      <c r="A20" s="3"/>
      <c r="B20" s="3" t="s">
        <v>205</v>
      </c>
      <c r="C20" s="10">
        <f>HLOOKUP(C$9,'SL Sozio Basis'!$C$8:$CB$55,12,FALSE)</f>
        <v>0.6</v>
      </c>
      <c r="D20" s="5"/>
    </row>
    <row r="21" spans="1:4" x14ac:dyDescent="0.2">
      <c r="A21" s="38"/>
      <c r="B21" s="38"/>
      <c r="C21" s="6"/>
      <c r="D21" s="5"/>
    </row>
    <row r="22" spans="1:4" x14ac:dyDescent="0.2">
      <c r="A22" s="38"/>
      <c r="B22" s="38" t="s">
        <v>227</v>
      </c>
      <c r="C22" s="5">
        <f>HLOOKUP(C$9,'SL Sozio Basis'!$C$8:$CB$55,14,FALSE)</f>
        <v>54962542.750000007</v>
      </c>
      <c r="D22" s="12" t="e">
        <f>HLOOKUP(D$9,'SL Sozio Basis'!$C$8:$CB$55,14,FALSE)</f>
        <v>#N/A</v>
      </c>
    </row>
    <row r="23" spans="1:4" x14ac:dyDescent="0.2">
      <c r="A23" s="38"/>
      <c r="B23" s="38" t="s">
        <v>207</v>
      </c>
      <c r="C23" s="5">
        <f>HLOOKUP(C$9,'SL Sozio Basis'!$C$8:$CB$55,15,FALSE)</f>
        <v>107.61481074296994</v>
      </c>
      <c r="D23" s="5" t="e">
        <f>HLOOKUP(D$9,'SL Sozio Basis'!$C$8:$CB$55,15,FALSE)</f>
        <v>#N/A</v>
      </c>
    </row>
    <row r="24" spans="1:4" x14ac:dyDescent="0.2">
      <c r="A24" s="38"/>
      <c r="B24" s="38"/>
      <c r="C24" s="6"/>
      <c r="D24" s="5"/>
    </row>
    <row r="25" spans="1:4" x14ac:dyDescent="0.2">
      <c r="A25" s="32"/>
      <c r="B25" s="32" t="s">
        <v>202</v>
      </c>
      <c r="C25" s="15">
        <f>HLOOKUP(C$9,'SL Sozio Basis'!$C$8:$CB$55,17,FALSE)</f>
        <v>7307885.8634171113</v>
      </c>
      <c r="D25" s="15" t="e">
        <f>HLOOKUP(D$9,'SL Sozio Basis'!$C$8:$CB$55,17,FALSE)</f>
        <v>#N/A</v>
      </c>
    </row>
    <row r="26" spans="1:4" x14ac:dyDescent="0.2">
      <c r="A26" s="38"/>
      <c r="B26" s="38"/>
      <c r="C26" s="6"/>
      <c r="D26" s="5"/>
    </row>
    <row r="27" spans="1:4" x14ac:dyDescent="0.2">
      <c r="A27" s="3"/>
      <c r="B27" s="3"/>
      <c r="C27" s="5"/>
      <c r="D27" s="5"/>
    </row>
    <row r="28" spans="1:4" x14ac:dyDescent="0.2">
      <c r="A28" s="63" t="s">
        <v>146</v>
      </c>
      <c r="B28" s="61" t="s">
        <v>203</v>
      </c>
      <c r="C28" s="62"/>
      <c r="D28" s="62"/>
    </row>
    <row r="29" spans="1:4" x14ac:dyDescent="0.2">
      <c r="A29" s="3"/>
      <c r="B29" s="3"/>
      <c r="C29" s="5"/>
      <c r="D29" s="5"/>
    </row>
    <row r="30" spans="1:4" x14ac:dyDescent="0.2">
      <c r="A30" s="3"/>
      <c r="B30" s="3" t="s">
        <v>205</v>
      </c>
      <c r="C30" s="10">
        <f>HLOOKUP(C$9,'SL Sozio Basis'!$C$8:$CB$55,22,FALSE)</f>
        <v>0.6</v>
      </c>
      <c r="D30" s="5"/>
    </row>
    <row r="31" spans="1:4" x14ac:dyDescent="0.2">
      <c r="A31" s="21"/>
      <c r="B31" s="3" t="s">
        <v>206</v>
      </c>
      <c r="C31" s="76">
        <f>HLOOKUP(C$9,'SL Sozio Basis'!$C$8:$CB$55,23,FALSE)</f>
        <v>0.2</v>
      </c>
      <c r="D31" s="15"/>
    </row>
    <row r="32" spans="1:4" x14ac:dyDescent="0.2">
      <c r="A32" s="21"/>
      <c r="B32" s="3"/>
      <c r="C32" s="77"/>
      <c r="D32" s="15"/>
    </row>
    <row r="33" spans="1:4" x14ac:dyDescent="0.2">
      <c r="A33" s="33"/>
      <c r="B33" s="30" t="s">
        <v>212</v>
      </c>
      <c r="C33" s="36">
        <f>HLOOKUP(C$9,'SL Sozio Basis'!$C$8:$CB$55,25,FALSE)</f>
        <v>75397271.640000001</v>
      </c>
      <c r="D33" s="44" t="e">
        <f>HLOOKUP(D$9,'SL Sozio Basis'!$C$8:$CB$55,25,FALSE)</f>
        <v>#N/A</v>
      </c>
    </row>
    <row r="34" spans="1:4" x14ac:dyDescent="0.2">
      <c r="A34" s="33"/>
      <c r="B34" s="30" t="s">
        <v>208</v>
      </c>
      <c r="C34" s="36">
        <f>HLOOKUP(C$9,'SL Sozio Basis'!$C$8:$CB$55,26,FALSE)</f>
        <v>147.62532284907604</v>
      </c>
      <c r="D34" s="36" t="e">
        <f>HLOOKUP(D$9,'SL Sozio Basis'!$C$8:$CB$55,26,FALSE)</f>
        <v>#N/A</v>
      </c>
    </row>
    <row r="35" spans="1:4" x14ac:dyDescent="0.2">
      <c r="A35" s="21"/>
      <c r="B35" s="32"/>
      <c r="C35" s="15"/>
      <c r="D35" s="15"/>
    </row>
    <row r="36" spans="1:4" x14ac:dyDescent="0.2">
      <c r="A36" s="21"/>
      <c r="B36" s="32" t="s">
        <v>203</v>
      </c>
      <c r="C36" s="15">
        <f>HLOOKUP(C$9,'SL Sozio Basis'!$C$8:$CB$55,28,FALSE)</f>
        <v>9103679.0763432644</v>
      </c>
      <c r="D36" s="15" t="e">
        <f>HLOOKUP(D$9,'SL Sozio Basis'!$C$8:$CB$55,28,FALSE)</f>
        <v>#N/A</v>
      </c>
    </row>
    <row r="37" spans="1:4" x14ac:dyDescent="0.2">
      <c r="A37" s="21"/>
      <c r="B37" s="32"/>
      <c r="C37" s="15"/>
      <c r="D37" s="15"/>
    </row>
    <row r="38" spans="1:4" x14ac:dyDescent="0.2">
      <c r="A38" s="21"/>
      <c r="B38" s="32"/>
      <c r="C38" s="15"/>
      <c r="D38" s="15"/>
    </row>
    <row r="39" spans="1:4" x14ac:dyDescent="0.2">
      <c r="A39" s="63" t="s">
        <v>154</v>
      </c>
      <c r="B39" s="61" t="s">
        <v>204</v>
      </c>
      <c r="C39" s="62"/>
      <c r="D39" s="62"/>
    </row>
    <row r="40" spans="1:4" x14ac:dyDescent="0.2">
      <c r="A40" s="21"/>
      <c r="B40" s="32"/>
      <c r="C40" s="15"/>
      <c r="D40" s="15"/>
    </row>
    <row r="41" spans="1:4" x14ac:dyDescent="0.2">
      <c r="A41" s="3"/>
      <c r="B41" s="3" t="s">
        <v>205</v>
      </c>
      <c r="C41" s="10">
        <f>HLOOKUP(C$9,'SL Sozio Basis'!$C$8:$CB$55,33,FALSE)</f>
        <v>0.6</v>
      </c>
      <c r="D41" s="5"/>
    </row>
    <row r="42" spans="1:4" x14ac:dyDescent="0.2">
      <c r="A42" s="21"/>
      <c r="B42" s="3" t="s">
        <v>206</v>
      </c>
      <c r="C42" s="76">
        <f>HLOOKUP(C$9,'SL Sozio Basis'!$C$8:$CB$55,34,FALSE)</f>
        <v>0.2</v>
      </c>
      <c r="D42" s="15"/>
    </row>
    <row r="43" spans="1:4" x14ac:dyDescent="0.2">
      <c r="A43" s="21"/>
      <c r="B43" s="32"/>
      <c r="C43" s="15"/>
      <c r="D43" s="15"/>
    </row>
    <row r="44" spans="1:4" x14ac:dyDescent="0.2">
      <c r="A44" s="33"/>
      <c r="B44" s="30" t="s">
        <v>209</v>
      </c>
      <c r="C44" s="36">
        <f>HLOOKUP(C$9,'SL Sozio Basis'!$C$8:$CB$55,36,FALSE)</f>
        <v>92304455.900000021</v>
      </c>
      <c r="D44" s="44" t="e">
        <f>HLOOKUP(D$9,'SL Sozio Basis'!$C$8:$CB$55,36,FALSE)</f>
        <v>#N/A</v>
      </c>
    </row>
    <row r="45" spans="1:4" x14ac:dyDescent="0.2">
      <c r="A45" s="33"/>
      <c r="B45" s="30" t="s">
        <v>210</v>
      </c>
      <c r="C45" s="36">
        <f>HLOOKUP(C$9,'SL Sozio Basis'!$C$8:$CB$55,37,FALSE)</f>
        <v>180.72902117344844</v>
      </c>
      <c r="D45" s="36" t="e">
        <f>HLOOKUP(D$9,'SL Sozio Basis'!$C$8:$CB$55,37,FALSE)</f>
        <v>#N/A</v>
      </c>
    </row>
    <row r="46" spans="1:4" x14ac:dyDescent="0.2">
      <c r="A46" s="21"/>
      <c r="B46" s="32"/>
      <c r="C46" s="15"/>
      <c r="D46" s="15"/>
    </row>
    <row r="47" spans="1:4" x14ac:dyDescent="0.2">
      <c r="A47" s="21"/>
      <c r="B47" s="32" t="s">
        <v>204</v>
      </c>
      <c r="C47" s="15">
        <f>HLOOKUP(C$9,'SL Sozio Basis'!$C$8:$CB$55,39,FALSE)</f>
        <v>4149851.2326165102</v>
      </c>
      <c r="D47" s="15" t="e">
        <f>HLOOKUP(D$9,'SL Sozio Basis'!$C$8:$CB$55,39,FALSE)</f>
        <v>#N/A</v>
      </c>
    </row>
    <row r="48" spans="1:4" x14ac:dyDescent="0.2">
      <c r="A48" s="21"/>
      <c r="B48" s="32"/>
      <c r="C48" s="15"/>
      <c r="D48" s="15"/>
    </row>
    <row r="49" spans="1:4" x14ac:dyDescent="0.2">
      <c r="A49" s="3"/>
      <c r="B49" s="3"/>
      <c r="C49" s="5"/>
      <c r="D49" s="5"/>
    </row>
    <row r="50" spans="1:4" ht="15.75" x14ac:dyDescent="0.25">
      <c r="A50" s="69" t="s">
        <v>104</v>
      </c>
      <c r="B50" s="69" t="s">
        <v>161</v>
      </c>
      <c r="C50" s="70"/>
      <c r="D50" s="70"/>
    </row>
    <row r="51" spans="1:4" x14ac:dyDescent="0.2">
      <c r="A51" s="3"/>
      <c r="B51" s="3"/>
      <c r="C51" s="5"/>
      <c r="D51" s="5"/>
    </row>
    <row r="52" spans="1:4" x14ac:dyDescent="0.2">
      <c r="A52" s="3"/>
      <c r="B52" s="3" t="s">
        <v>202</v>
      </c>
      <c r="C52" s="5">
        <f>HLOOKUP(C$9,'SL Sozio Basis'!$C$8:$CB$55,44,FALSE)</f>
        <v>7307885.8634171113</v>
      </c>
      <c r="D52" s="5" t="e">
        <f>HLOOKUP(D$9,'SL Sozio Basis'!$C$8:$CB$55,44,FALSE)</f>
        <v>#N/A</v>
      </c>
    </row>
    <row r="53" spans="1:4" x14ac:dyDescent="0.2">
      <c r="A53" s="3"/>
      <c r="B53" s="3" t="s">
        <v>203</v>
      </c>
      <c r="C53" s="5">
        <f>HLOOKUP(C$9,'SL Sozio Basis'!$C$8:$CB$55,45,FALSE)</f>
        <v>9103679.0763432644</v>
      </c>
      <c r="D53" s="5" t="e">
        <f>HLOOKUP(D$9,'SL Sozio Basis'!$C$8:$CB$55,45,FALSE)</f>
        <v>#N/A</v>
      </c>
    </row>
    <row r="54" spans="1:4" x14ac:dyDescent="0.2">
      <c r="A54" s="3"/>
      <c r="B54" s="38" t="s">
        <v>204</v>
      </c>
      <c r="C54" s="5">
        <f>HLOOKUP(C$9,'SL Sozio Basis'!$C$8:$CB$55,46,FALSE)</f>
        <v>4149851.2326165102</v>
      </c>
      <c r="D54" s="5" t="e">
        <f>HLOOKUP(D$9,'SL Sozio Basis'!$C$8:$CB$55,46,FALSE)</f>
        <v>#N/A</v>
      </c>
    </row>
    <row r="55" spans="1:4" x14ac:dyDescent="0.2">
      <c r="A55" s="3"/>
      <c r="B55" s="38"/>
      <c r="C55" s="5"/>
      <c r="D55" s="5"/>
    </row>
    <row r="56" spans="1:4" x14ac:dyDescent="0.2">
      <c r="A56" s="54"/>
      <c r="B56" s="54" t="s">
        <v>213</v>
      </c>
      <c r="C56" s="55">
        <f>HLOOKUP(C$9,'SL Sozio Basis'!$C$8:$CB$55,48,FALSE)</f>
        <v>25736900</v>
      </c>
      <c r="D56" s="55" t="e">
        <f>HLOOKUP(D$9,'SL Sozio Basis'!$C$8:$CB$55,48,FALSE)</f>
        <v>#N/A</v>
      </c>
    </row>
  </sheetData>
  <sheetProtection algorithmName="SHA-512" hashValue="ZgU95BGWs+t1fToQQ/DBwSLdioGCtfkd9zkqMuaVhuxMGSBiIurqYnxNrBuCr1wEoHYwxPLxXkhjl982Er+/Yg==" saltValue="07Pr2K70qM6Ys8ByxTZyyA==" spinCount="100000"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9"/>
  <sheetViews>
    <sheetView showGridLines="0" workbookViewId="0">
      <selection activeCell="A86" sqref="A86"/>
    </sheetView>
  </sheetViews>
  <sheetFormatPr baseColWidth="10" defaultRowHeight="12.75" x14ac:dyDescent="0.2"/>
  <cols>
    <col min="1" max="1" width="4.140625" bestFit="1" customWidth="1"/>
    <col min="2" max="2" width="51" bestFit="1" customWidth="1"/>
    <col min="3" max="3" width="22.42578125" customWidth="1"/>
    <col min="4" max="4" width="22.42578125" bestFit="1" customWidth="1"/>
  </cols>
  <sheetData>
    <row r="1" spans="1:4" x14ac:dyDescent="0.2">
      <c r="A1" s="83" t="s">
        <v>217</v>
      </c>
    </row>
    <row r="2" spans="1:4" x14ac:dyDescent="0.2">
      <c r="A2" t="s">
        <v>218</v>
      </c>
    </row>
    <row r="5" spans="1:4" ht="26.25" x14ac:dyDescent="0.4">
      <c r="A5" s="18" t="s">
        <v>120</v>
      </c>
      <c r="B5" s="3"/>
    </row>
    <row r="6" spans="1:4" x14ac:dyDescent="0.2">
      <c r="A6" s="3"/>
      <c r="B6" s="3"/>
    </row>
    <row r="7" spans="1:4" x14ac:dyDescent="0.2">
      <c r="A7" s="3"/>
      <c r="B7" s="20" t="s">
        <v>226</v>
      </c>
    </row>
    <row r="8" spans="1:4" s="84" customFormat="1" x14ac:dyDescent="0.2">
      <c r="A8" s="38"/>
      <c r="B8" s="38"/>
    </row>
    <row r="9" spans="1:4" x14ac:dyDescent="0.2">
      <c r="A9" s="21"/>
      <c r="B9" s="21"/>
      <c r="C9" s="91" t="str">
        <f>Finanzausgleichsbeiträge!B7</f>
        <v>bitte Gemeinde auswählen</v>
      </c>
      <c r="D9" s="91"/>
    </row>
    <row r="10" spans="1:4" x14ac:dyDescent="0.2">
      <c r="A10" s="3"/>
      <c r="B10" s="3"/>
    </row>
    <row r="11" spans="1:4" ht="15.75" x14ac:dyDescent="0.25">
      <c r="A11" s="22" t="s">
        <v>102</v>
      </c>
      <c r="B11" s="23" t="s">
        <v>122</v>
      </c>
      <c r="C11" s="7"/>
      <c r="D11" s="56"/>
    </row>
    <row r="12" spans="1:4" x14ac:dyDescent="0.2">
      <c r="A12" s="3"/>
      <c r="B12" s="24"/>
      <c r="C12" s="3"/>
      <c r="D12" s="38"/>
    </row>
    <row r="13" spans="1:4" x14ac:dyDescent="0.2">
      <c r="A13" s="3"/>
      <c r="B13" s="28" t="s">
        <v>123</v>
      </c>
      <c r="C13" s="5" t="e">
        <f>HLOOKUP(C9,'SL Stadt SG Basis'!C8:C18,5,FALSE)</f>
        <v>#N/A</v>
      </c>
      <c r="D13" s="38"/>
    </row>
    <row r="14" spans="1:4" x14ac:dyDescent="0.2">
      <c r="A14" s="30"/>
      <c r="B14" s="30" t="s">
        <v>124</v>
      </c>
      <c r="C14" s="36" t="e">
        <f>HLOOKUP(C9,'SL Stadt SG Basis'!C8:C18,6,FALSE)</f>
        <v>#N/A</v>
      </c>
      <c r="D14" s="32"/>
    </row>
    <row r="15" spans="1:4" x14ac:dyDescent="0.2">
      <c r="A15" s="3"/>
      <c r="B15" s="3"/>
      <c r="C15" s="5"/>
      <c r="D15" s="38"/>
    </row>
    <row r="16" spans="1:4" x14ac:dyDescent="0.2">
      <c r="A16" s="3"/>
      <c r="B16" s="3" t="s">
        <v>127</v>
      </c>
      <c r="C16" s="5" t="e">
        <f>HLOOKUP(C9,'SL Stadt SG Basis'!C8:C18,8,FALSE)</f>
        <v>#N/A</v>
      </c>
      <c r="D16" s="38" t="s">
        <v>126</v>
      </c>
    </row>
    <row r="17" spans="1:4" x14ac:dyDescent="0.2">
      <c r="A17" s="3"/>
      <c r="B17" s="38" t="s">
        <v>125</v>
      </c>
      <c r="C17" s="12" t="e">
        <f>HLOOKUP(C9,'SL Stadt SG Basis'!C8:C18,9,FALSE)</f>
        <v>#N/A</v>
      </c>
      <c r="D17" s="38"/>
    </row>
    <row r="18" spans="1:4" x14ac:dyDescent="0.2">
      <c r="A18" s="3"/>
      <c r="B18" s="3"/>
      <c r="C18" s="5"/>
      <c r="D18" s="38"/>
    </row>
    <row r="19" spans="1:4" x14ac:dyDescent="0.2">
      <c r="A19" s="58"/>
      <c r="B19" s="54" t="s">
        <v>214</v>
      </c>
      <c r="C19" s="55" t="e">
        <f>HLOOKUP(C9,'SL Stadt SG Basis'!C8:C18,11,FALSE)</f>
        <v>#N/A</v>
      </c>
      <c r="D19" s="38"/>
    </row>
  </sheetData>
  <sheetProtection algorithmName="SHA-512" hashValue="9D3/jLP43MaMw8lFZ8mdG+ZkeaREr9ccHjJoG8ulaI9IrRYrADN4Gjm9hCfb7HGgfPrV8WYlgk90cX7QEiM/ug==" saltValue="gRUpoBZKBmURh2J2JVDcaw==" spinCount="100000" sheet="1" objects="1" scenarios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D176"/>
  <sheetViews>
    <sheetView zoomScaleNormal="100" workbookViewId="0">
      <pane xSplit="3" ySplit="9" topLeftCell="D10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.140625" style="3" customWidth="1"/>
    <col min="2" max="2" width="42.28515625" style="3" customWidth="1"/>
    <col min="3" max="80" width="21" style="3" customWidth="1"/>
    <col min="81" max="81" width="2.140625" style="3" customWidth="1"/>
    <col min="82" max="82" width="20.7109375" style="3" bestFit="1" customWidth="1"/>
    <col min="83" max="16384" width="11.42578125" style="38"/>
  </cols>
  <sheetData>
    <row r="1" spans="1:82" x14ac:dyDescent="0.2">
      <c r="A1" s="83" t="s">
        <v>217</v>
      </c>
      <c r="B1"/>
      <c r="C1"/>
      <c r="D1"/>
      <c r="E1"/>
      <c r="F1"/>
      <c r="G1"/>
    </row>
    <row r="2" spans="1:82" x14ac:dyDescent="0.2">
      <c r="A2" t="s">
        <v>218</v>
      </c>
      <c r="B2"/>
      <c r="C2"/>
      <c r="D2"/>
      <c r="E2"/>
      <c r="F2"/>
      <c r="G2"/>
    </row>
    <row r="3" spans="1:82" x14ac:dyDescent="0.2">
      <c r="A3"/>
      <c r="B3"/>
      <c r="C3"/>
      <c r="D3"/>
      <c r="E3"/>
      <c r="F3"/>
      <c r="G3"/>
    </row>
    <row r="4" spans="1:82" x14ac:dyDescent="0.2">
      <c r="A4"/>
      <c r="B4"/>
      <c r="C4"/>
      <c r="D4"/>
      <c r="E4"/>
      <c r="F4"/>
      <c r="G4"/>
    </row>
    <row r="5" spans="1:82" ht="26.25" x14ac:dyDescent="0.4">
      <c r="A5" s="18" t="s">
        <v>121</v>
      </c>
      <c r="D5" s="158"/>
      <c r="E5" s="104"/>
      <c r="F5" s="104"/>
      <c r="G5" s="104"/>
      <c r="H5" s="104"/>
      <c r="I5" s="104"/>
    </row>
    <row r="6" spans="1:82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2" x14ac:dyDescent="0.2">
      <c r="B7" s="20" t="s">
        <v>113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2" s="32" customFormat="1" x14ac:dyDescent="0.2">
      <c r="A8" s="21"/>
      <c r="B8" s="21"/>
      <c r="C8" s="21" t="s">
        <v>82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21" t="s">
        <v>61</v>
      </c>
      <c r="BI8" s="21" t="s">
        <v>62</v>
      </c>
      <c r="BJ8" s="21" t="s">
        <v>63</v>
      </c>
      <c r="BK8" s="21" t="s">
        <v>64</v>
      </c>
      <c r="BL8" s="21" t="s">
        <v>65</v>
      </c>
      <c r="BM8" s="21" t="s">
        <v>66</v>
      </c>
      <c r="BN8" s="21" t="s">
        <v>67</v>
      </c>
      <c r="BO8" s="21" t="s">
        <v>68</v>
      </c>
      <c r="BP8" s="21" t="s">
        <v>69</v>
      </c>
      <c r="BQ8" s="21" t="s">
        <v>70</v>
      </c>
      <c r="BR8" s="21" t="s">
        <v>71</v>
      </c>
      <c r="BS8" s="21" t="s">
        <v>72</v>
      </c>
      <c r="BT8" s="21" t="s">
        <v>73</v>
      </c>
      <c r="BU8" s="21" t="s">
        <v>74</v>
      </c>
      <c r="BV8" s="21" t="s">
        <v>75</v>
      </c>
      <c r="BW8" s="21" t="s">
        <v>76</v>
      </c>
      <c r="BX8" s="21" t="s">
        <v>77</v>
      </c>
      <c r="BY8" s="21" t="s">
        <v>78</v>
      </c>
      <c r="BZ8" s="21" t="s">
        <v>79</v>
      </c>
      <c r="CA8" s="21" t="s">
        <v>80</v>
      </c>
      <c r="CB8" s="21" t="s">
        <v>81</v>
      </c>
      <c r="CC8" s="21"/>
      <c r="CD8" s="21" t="s">
        <v>114</v>
      </c>
    </row>
    <row r="10" spans="1:82" s="56" customFormat="1" ht="15.75" x14ac:dyDescent="0.25">
      <c r="A10" s="22" t="s">
        <v>102</v>
      </c>
      <c r="B10" s="23" t="s">
        <v>100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x14ac:dyDescent="0.2">
      <c r="B11" s="24"/>
      <c r="C11" s="24"/>
    </row>
    <row r="12" spans="1:82" s="32" customFormat="1" x14ac:dyDescent="0.2">
      <c r="A12" s="25" t="s">
        <v>164</v>
      </c>
      <c r="B12" s="26" t="s">
        <v>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</row>
    <row r="13" spans="1:82" x14ac:dyDescent="0.2">
      <c r="B13" s="28" t="s">
        <v>91</v>
      </c>
      <c r="C13" s="29">
        <f>C19/C17</f>
        <v>1.1772463050842656</v>
      </c>
      <c r="D13" s="10">
        <v>1.41</v>
      </c>
      <c r="E13" s="10">
        <v>1.35</v>
      </c>
      <c r="F13" s="10">
        <v>1.19</v>
      </c>
      <c r="G13" s="10">
        <v>1.32</v>
      </c>
      <c r="H13" s="10">
        <v>0.75</v>
      </c>
      <c r="I13" s="10">
        <v>1.01</v>
      </c>
      <c r="J13" s="10">
        <v>1.1499999999999999</v>
      </c>
      <c r="K13" s="10">
        <v>1.36</v>
      </c>
      <c r="L13" s="10">
        <v>0.82</v>
      </c>
      <c r="M13" s="10">
        <v>1.19</v>
      </c>
      <c r="N13" s="10">
        <v>1.28</v>
      </c>
      <c r="O13" s="10">
        <v>0.99</v>
      </c>
      <c r="P13" s="10">
        <v>1.39</v>
      </c>
      <c r="Q13" s="10">
        <v>0.94</v>
      </c>
      <c r="R13" s="10">
        <v>1.24</v>
      </c>
      <c r="S13" s="10">
        <v>1.17</v>
      </c>
      <c r="T13" s="10">
        <v>0.9</v>
      </c>
      <c r="U13" s="10">
        <v>0.97</v>
      </c>
      <c r="V13" s="10">
        <v>0.77</v>
      </c>
      <c r="W13" s="10">
        <v>0.89</v>
      </c>
      <c r="X13" s="10">
        <v>0.86</v>
      </c>
      <c r="Y13" s="10">
        <v>1.1399999999999999</v>
      </c>
      <c r="Z13" s="10">
        <v>1.2</v>
      </c>
      <c r="AA13" s="10">
        <v>1.29</v>
      </c>
      <c r="AB13" s="10">
        <v>1.28</v>
      </c>
      <c r="AC13" s="10">
        <v>1.1200000000000001</v>
      </c>
      <c r="AD13" s="10">
        <v>1.29</v>
      </c>
      <c r="AE13" s="10">
        <v>0.93</v>
      </c>
      <c r="AF13" s="10">
        <v>1.29</v>
      </c>
      <c r="AG13" s="10">
        <v>1.2</v>
      </c>
      <c r="AH13" s="10">
        <v>1.18</v>
      </c>
      <c r="AI13" s="10">
        <v>1.25</v>
      </c>
      <c r="AJ13" s="10">
        <v>1.6</v>
      </c>
      <c r="AK13" s="10">
        <v>1.42</v>
      </c>
      <c r="AL13" s="10">
        <v>1.36</v>
      </c>
      <c r="AM13" s="10">
        <v>0.92</v>
      </c>
      <c r="AN13" s="10">
        <v>1.47</v>
      </c>
      <c r="AO13" s="10">
        <v>1.33</v>
      </c>
      <c r="AP13" s="10">
        <v>1.35</v>
      </c>
      <c r="AQ13" s="10">
        <v>1.22</v>
      </c>
      <c r="AR13" s="10">
        <v>1.18</v>
      </c>
      <c r="AS13" s="10">
        <v>1.2</v>
      </c>
      <c r="AT13" s="10">
        <v>1.3</v>
      </c>
      <c r="AU13" s="10">
        <v>1.29</v>
      </c>
      <c r="AV13" s="10">
        <v>1.35</v>
      </c>
      <c r="AW13" s="10">
        <v>1.08</v>
      </c>
      <c r="AX13" s="10">
        <v>1.1599999999999999</v>
      </c>
      <c r="AY13" s="10">
        <v>1.22</v>
      </c>
      <c r="AZ13" s="10">
        <v>1.19</v>
      </c>
      <c r="BA13" s="10">
        <v>0.76</v>
      </c>
      <c r="BB13" s="10">
        <v>1.21</v>
      </c>
      <c r="BC13" s="10">
        <v>1.38</v>
      </c>
      <c r="BD13" s="10">
        <v>1.25</v>
      </c>
      <c r="BE13" s="10">
        <v>1.45</v>
      </c>
      <c r="BF13" s="10">
        <v>1.35</v>
      </c>
      <c r="BG13" s="10">
        <v>1.4</v>
      </c>
      <c r="BH13" s="10">
        <v>1.39</v>
      </c>
      <c r="BI13" s="10">
        <v>1.32</v>
      </c>
      <c r="BJ13" s="10">
        <v>1.38</v>
      </c>
      <c r="BK13" s="10">
        <v>1.34</v>
      </c>
      <c r="BL13" s="10">
        <v>1.35</v>
      </c>
      <c r="BM13" s="10">
        <v>1.37</v>
      </c>
      <c r="BN13" s="10">
        <v>1.38</v>
      </c>
      <c r="BO13" s="10">
        <v>1.35</v>
      </c>
      <c r="BP13" s="10">
        <v>1.29</v>
      </c>
      <c r="BQ13" s="10">
        <v>1.33</v>
      </c>
      <c r="BR13" s="10">
        <v>1.38</v>
      </c>
      <c r="BS13" s="10">
        <v>1.59</v>
      </c>
      <c r="BT13" s="10">
        <v>1.18</v>
      </c>
      <c r="BU13" s="10">
        <v>0.87</v>
      </c>
      <c r="BV13" s="10">
        <v>1.05</v>
      </c>
      <c r="BW13" s="10">
        <v>1.29</v>
      </c>
      <c r="BX13" s="10">
        <v>1.1399999999999999</v>
      </c>
      <c r="BY13" s="10">
        <v>1.21</v>
      </c>
      <c r="BZ13" s="10">
        <v>1.18</v>
      </c>
      <c r="CA13" s="10">
        <v>1.25</v>
      </c>
      <c r="CB13" s="10">
        <v>1.07</v>
      </c>
      <c r="CD13" s="3" t="s">
        <v>115</v>
      </c>
    </row>
    <row r="14" spans="1:82" s="32" customFormat="1" x14ac:dyDescent="0.2">
      <c r="A14" s="30"/>
      <c r="B14" s="31"/>
    </row>
    <row r="15" spans="1:82" x14ac:dyDescent="0.2">
      <c r="B15" s="33" t="s">
        <v>97</v>
      </c>
      <c r="C15" s="4">
        <f t="shared" ref="C15:C16" si="0">SUM(D15:CB15)</f>
        <v>1116160423.6399999</v>
      </c>
      <c r="D15" s="12">
        <v>172490441.06</v>
      </c>
      <c r="E15" s="12">
        <v>18678652.650000002</v>
      </c>
      <c r="F15" s="12">
        <v>2761593.78</v>
      </c>
      <c r="G15" s="12">
        <v>2255849.4900000002</v>
      </c>
      <c r="H15" s="12">
        <v>16022553.41</v>
      </c>
      <c r="I15" s="12">
        <v>21265344.140000001</v>
      </c>
      <c r="J15" s="12">
        <v>7942415.3200000003</v>
      </c>
      <c r="K15" s="12">
        <v>2218460.0900000003</v>
      </c>
      <c r="L15" s="12">
        <v>4231813.5599999996</v>
      </c>
      <c r="M15" s="12">
        <v>2436134.2000000002</v>
      </c>
      <c r="N15" s="12">
        <v>5256600.63</v>
      </c>
      <c r="O15" s="12">
        <v>17567519.059999999</v>
      </c>
      <c r="P15" s="12">
        <v>15174112.459999999</v>
      </c>
      <c r="Q15" s="12">
        <v>15905454.890000001</v>
      </c>
      <c r="R15" s="12">
        <v>6308653.9699999997</v>
      </c>
      <c r="S15" s="12">
        <v>9156956.3899999987</v>
      </c>
      <c r="T15" s="12">
        <v>18144367.990000002</v>
      </c>
      <c r="U15" s="12">
        <v>10348966.189999999</v>
      </c>
      <c r="V15" s="12">
        <v>14585872.539999999</v>
      </c>
      <c r="W15" s="12">
        <v>14057782.1</v>
      </c>
      <c r="X15" s="12">
        <v>21406954.73</v>
      </c>
      <c r="Y15" s="12">
        <v>8524318.129999999</v>
      </c>
      <c r="Z15" s="12">
        <v>4287223.66</v>
      </c>
      <c r="AA15" s="12">
        <v>23743305</v>
      </c>
      <c r="AB15" s="12">
        <v>3092678.81</v>
      </c>
      <c r="AC15" s="12">
        <v>19022703.27</v>
      </c>
      <c r="AD15" s="12">
        <v>4111710.82</v>
      </c>
      <c r="AE15" s="12">
        <v>11043977.779999999</v>
      </c>
      <c r="AF15" s="12">
        <v>6644698.5</v>
      </c>
      <c r="AG15" s="12">
        <v>13409946.510000002</v>
      </c>
      <c r="AH15" s="12">
        <v>26890679.719999999</v>
      </c>
      <c r="AI15" s="12">
        <v>9790829.1699999981</v>
      </c>
      <c r="AJ15" s="12">
        <v>9144253.0500000007</v>
      </c>
      <c r="AK15" s="12">
        <v>12262626.970000001</v>
      </c>
      <c r="AL15" s="12">
        <v>9161713.9000000004</v>
      </c>
      <c r="AM15" s="12">
        <v>14845000.790000001</v>
      </c>
      <c r="AN15" s="12">
        <v>2478209.6100000003</v>
      </c>
      <c r="AO15" s="12">
        <v>15438804.41</v>
      </c>
      <c r="AP15" s="12">
        <v>8766375.5800000001</v>
      </c>
      <c r="AQ15" s="12">
        <v>11646052.809999999</v>
      </c>
      <c r="AR15" s="12">
        <v>5958839.5900000008</v>
      </c>
      <c r="AS15" s="12">
        <v>4993502.7300000004</v>
      </c>
      <c r="AT15" s="12">
        <v>4717432.42</v>
      </c>
      <c r="AU15" s="12">
        <v>6920320.9399999995</v>
      </c>
      <c r="AV15" s="12">
        <v>5304258.5600000005</v>
      </c>
      <c r="AW15" s="12">
        <v>9172541.6599999983</v>
      </c>
      <c r="AX15" s="12">
        <v>12761390</v>
      </c>
      <c r="AY15" s="12">
        <v>12655301.93</v>
      </c>
      <c r="AZ15" s="12">
        <v>8805986.6400000006</v>
      </c>
      <c r="BA15" s="12">
        <v>95519589.800000012</v>
      </c>
      <c r="BB15" s="12">
        <v>20203255.59</v>
      </c>
      <c r="BC15" s="12">
        <v>5586326.6200000001</v>
      </c>
      <c r="BD15" s="12">
        <v>6087579.4000000004</v>
      </c>
      <c r="BE15" s="12">
        <v>8173522.0299999993</v>
      </c>
      <c r="BF15" s="12">
        <v>14697001.789999999</v>
      </c>
      <c r="BG15" s="12">
        <v>3558365.3099999996</v>
      </c>
      <c r="BH15" s="12">
        <v>2016794.56</v>
      </c>
      <c r="BI15" s="12">
        <v>5706175.3299999991</v>
      </c>
      <c r="BJ15" s="12">
        <v>1386613.8</v>
      </c>
      <c r="BK15" s="12">
        <v>8569366.3900000006</v>
      </c>
      <c r="BL15" s="12">
        <v>2477878.4699999997</v>
      </c>
      <c r="BM15" s="12">
        <v>4244666.1500000004</v>
      </c>
      <c r="BN15" s="12">
        <v>16320970.07</v>
      </c>
      <c r="BO15" s="12">
        <v>7466600.2899999991</v>
      </c>
      <c r="BP15" s="12">
        <v>13053218.4</v>
      </c>
      <c r="BQ15" s="12">
        <v>24322648.809999999</v>
      </c>
      <c r="BR15" s="12">
        <v>19497780.07</v>
      </c>
      <c r="BS15" s="12">
        <v>6140224.9399999995</v>
      </c>
      <c r="BT15" s="12">
        <v>57861239.200000003</v>
      </c>
      <c r="BU15" s="12">
        <v>14199341.049999999</v>
      </c>
      <c r="BV15" s="12">
        <v>10753730.4</v>
      </c>
      <c r="BW15" s="12">
        <v>2888945.0300000003</v>
      </c>
      <c r="BX15" s="12">
        <v>6622648.1900000004</v>
      </c>
      <c r="BY15" s="12">
        <v>39606593.170000002</v>
      </c>
      <c r="BZ15" s="12">
        <v>4658428.1400000006</v>
      </c>
      <c r="CA15" s="12">
        <v>6840155.4899999993</v>
      </c>
      <c r="CB15" s="12">
        <v>23889583.539999999</v>
      </c>
      <c r="CD15" s="3" t="s">
        <v>115</v>
      </c>
    </row>
    <row r="16" spans="1:82" x14ac:dyDescent="0.2">
      <c r="B16" s="33" t="s">
        <v>89</v>
      </c>
      <c r="C16" s="4">
        <f t="shared" si="0"/>
        <v>5811359.9321428565</v>
      </c>
      <c r="D16" s="12">
        <v>1165828.7652827722</v>
      </c>
      <c r="E16" s="12">
        <v>125883.5411354473</v>
      </c>
      <c r="F16" s="12">
        <v>147.54782608695632</v>
      </c>
      <c r="G16" s="12">
        <v>535.48662961752188</v>
      </c>
      <c r="H16" s="12">
        <v>-1474.852173913042</v>
      </c>
      <c r="I16" s="12">
        <v>125071.90580799824</v>
      </c>
      <c r="J16" s="12">
        <v>84606.077607061132</v>
      </c>
      <c r="K16" s="12">
        <v>9376.3445134575595</v>
      </c>
      <c r="L16" s="12">
        <v>5118.4434782608696</v>
      </c>
      <c r="M16" s="12">
        <v>775.00000000000045</v>
      </c>
      <c r="N16" s="12">
        <v>635.61739130434853</v>
      </c>
      <c r="O16" s="12">
        <v>188432.15942028986</v>
      </c>
      <c r="P16" s="12">
        <v>239392.91631252045</v>
      </c>
      <c r="Q16" s="12">
        <v>67329.596687370591</v>
      </c>
      <c r="R16" s="12">
        <v>71221.173913043487</v>
      </c>
      <c r="S16" s="12">
        <v>160435.83761577855</v>
      </c>
      <c r="T16" s="12">
        <v>146745.57345537754</v>
      </c>
      <c r="U16" s="12">
        <v>6993.0666666666675</v>
      </c>
      <c r="V16" s="12">
        <v>27922.758810068655</v>
      </c>
      <c r="W16" s="12">
        <v>80871.061218263058</v>
      </c>
      <c r="X16" s="12">
        <v>161038.52683883626</v>
      </c>
      <c r="Y16" s="12">
        <v>63729.747826086968</v>
      </c>
      <c r="Z16" s="12">
        <v>24281.965217391305</v>
      </c>
      <c r="AA16" s="12">
        <v>105505.55120409717</v>
      </c>
      <c r="AB16" s="12">
        <v>12678.198169336381</v>
      </c>
      <c r="AC16" s="12">
        <v>40482.248140732278</v>
      </c>
      <c r="AD16" s="12">
        <v>17618.482641386076</v>
      </c>
      <c r="AE16" s="12">
        <v>31740.130565544292</v>
      </c>
      <c r="AF16" s="12">
        <v>15636.130434782614</v>
      </c>
      <c r="AG16" s="12">
        <v>65449.269369074857</v>
      </c>
      <c r="AH16" s="12">
        <v>156152.96829029091</v>
      </c>
      <c r="AI16" s="12">
        <v>114874.49602266535</v>
      </c>
      <c r="AJ16" s="12">
        <v>84241.11720605864</v>
      </c>
      <c r="AK16" s="12">
        <v>69295.530434782602</v>
      </c>
      <c r="AL16" s="12">
        <v>45281.469565217398</v>
      </c>
      <c r="AM16" s="12">
        <v>89140.860869565222</v>
      </c>
      <c r="AN16" s="12">
        <v>16408.467908902694</v>
      </c>
      <c r="AO16" s="12">
        <v>80452.815756783268</v>
      </c>
      <c r="AP16" s="12">
        <v>15052.197362972649</v>
      </c>
      <c r="AQ16" s="12">
        <v>145331.92101994119</v>
      </c>
      <c r="AR16" s="12">
        <v>19153.39705786205</v>
      </c>
      <c r="AS16" s="12">
        <v>14892.843478260871</v>
      </c>
      <c r="AT16" s="12">
        <v>7844.3076604554844</v>
      </c>
      <c r="AU16" s="12">
        <v>38738.51304347827</v>
      </c>
      <c r="AV16" s="12">
        <v>13540.939130434783</v>
      </c>
      <c r="AW16" s="12">
        <v>40530.544164759725</v>
      </c>
      <c r="AX16" s="12">
        <v>70239.585093167698</v>
      </c>
      <c r="AY16" s="12">
        <v>70246.336842105258</v>
      </c>
      <c r="AZ16" s="12">
        <v>-4303.0050343249422</v>
      </c>
      <c r="BA16" s="12">
        <v>181173.65492127062</v>
      </c>
      <c r="BB16" s="12">
        <v>65332.364498202041</v>
      </c>
      <c r="BC16" s="12">
        <v>47330.917227852246</v>
      </c>
      <c r="BD16" s="12">
        <v>24422.243478260869</v>
      </c>
      <c r="BE16" s="12">
        <v>56680.698136645959</v>
      </c>
      <c r="BF16" s="12">
        <v>85193.038247793389</v>
      </c>
      <c r="BG16" s="12">
        <v>8709.6860629835392</v>
      </c>
      <c r="BH16" s="12">
        <v>-7579.0509316770185</v>
      </c>
      <c r="BI16" s="12">
        <v>41377.984090661441</v>
      </c>
      <c r="BJ16" s="12">
        <v>990.38489702517131</v>
      </c>
      <c r="BK16" s="12">
        <v>56457.66086956521</v>
      </c>
      <c r="BL16" s="12">
        <v>1322.6782608695639</v>
      </c>
      <c r="BM16" s="12">
        <v>3639.7391304347821</v>
      </c>
      <c r="BN16" s="12">
        <v>92205.451171406778</v>
      </c>
      <c r="BO16" s="12">
        <v>169281.94316770186</v>
      </c>
      <c r="BP16" s="12">
        <v>20903.12821183393</v>
      </c>
      <c r="BQ16" s="12">
        <v>156139.2137517707</v>
      </c>
      <c r="BR16" s="12">
        <v>-28329.61638879808</v>
      </c>
      <c r="BS16" s="12">
        <v>27299.196338672766</v>
      </c>
      <c r="BT16" s="12">
        <v>350254.12849515094</v>
      </c>
      <c r="BU16" s="12">
        <v>22259.797210417346</v>
      </c>
      <c r="BV16" s="12">
        <v>128233.40858940833</v>
      </c>
      <c r="BW16" s="12">
        <v>3811.3826086956524</v>
      </c>
      <c r="BX16" s="12">
        <v>-10049.599999999999</v>
      </c>
      <c r="BY16" s="12">
        <v>96437.700686498851</v>
      </c>
      <c r="BZ16" s="12">
        <v>13297.791304347826</v>
      </c>
      <c r="CA16" s="12">
        <v>-20251.947826086955</v>
      </c>
      <c r="CB16" s="12">
        <v>93692.378053830224</v>
      </c>
      <c r="CD16" s="3" t="s">
        <v>115</v>
      </c>
    </row>
    <row r="17" spans="1:82" x14ac:dyDescent="0.2">
      <c r="B17" s="33" t="s">
        <v>98</v>
      </c>
      <c r="C17" s="4">
        <f>SUM(D17:CB17)</f>
        <v>1110349063.7078569</v>
      </c>
      <c r="D17" s="4">
        <f>D15-D16</f>
        <v>171324612.29471722</v>
      </c>
      <c r="E17" s="4">
        <f t="shared" ref="E17:BP17" si="1">E15-E16</f>
        <v>18552769.108864553</v>
      </c>
      <c r="F17" s="4">
        <f t="shared" si="1"/>
        <v>2761446.2321739127</v>
      </c>
      <c r="G17" s="4">
        <f t="shared" si="1"/>
        <v>2255314.0033703828</v>
      </c>
      <c r="H17" s="4">
        <f t="shared" si="1"/>
        <v>16024028.262173913</v>
      </c>
      <c r="I17" s="4">
        <f t="shared" si="1"/>
        <v>21140272.234192003</v>
      </c>
      <c r="J17" s="4">
        <f t="shared" si="1"/>
        <v>7857809.2423929395</v>
      </c>
      <c r="K17" s="4">
        <f t="shared" si="1"/>
        <v>2209083.7454865426</v>
      </c>
      <c r="L17" s="4">
        <f t="shared" si="1"/>
        <v>4226695.1165217385</v>
      </c>
      <c r="M17" s="4">
        <f t="shared" si="1"/>
        <v>2435359.2000000002</v>
      </c>
      <c r="N17" s="4">
        <f t="shared" si="1"/>
        <v>5255965.0126086958</v>
      </c>
      <c r="O17" s="4">
        <f t="shared" si="1"/>
        <v>17379086.90057971</v>
      </c>
      <c r="P17" s="4">
        <f t="shared" si="1"/>
        <v>14934719.543687478</v>
      </c>
      <c r="Q17" s="4">
        <f t="shared" si="1"/>
        <v>15838125.29331263</v>
      </c>
      <c r="R17" s="4">
        <f t="shared" si="1"/>
        <v>6237432.7960869558</v>
      </c>
      <c r="S17" s="4">
        <f t="shared" si="1"/>
        <v>8996520.5523842201</v>
      </c>
      <c r="T17" s="4">
        <f t="shared" si="1"/>
        <v>17997622.416544624</v>
      </c>
      <c r="U17" s="4">
        <f t="shared" si="1"/>
        <v>10341973.123333333</v>
      </c>
      <c r="V17" s="4">
        <f t="shared" si="1"/>
        <v>14557949.78118993</v>
      </c>
      <c r="W17" s="4">
        <f t="shared" si="1"/>
        <v>13976911.038781736</v>
      </c>
      <c r="X17" s="4">
        <f t="shared" si="1"/>
        <v>21245916.203161165</v>
      </c>
      <c r="Y17" s="4">
        <f t="shared" si="1"/>
        <v>8460588.3821739126</v>
      </c>
      <c r="Z17" s="4">
        <f t="shared" si="1"/>
        <v>4262941.6947826091</v>
      </c>
      <c r="AA17" s="4">
        <f t="shared" si="1"/>
        <v>23637799.448795903</v>
      </c>
      <c r="AB17" s="4">
        <f t="shared" si="1"/>
        <v>3080000.6118306639</v>
      </c>
      <c r="AC17" s="4">
        <f t="shared" si="1"/>
        <v>18982221.021859266</v>
      </c>
      <c r="AD17" s="4">
        <f t="shared" si="1"/>
        <v>4094092.337358614</v>
      </c>
      <c r="AE17" s="4">
        <f t="shared" si="1"/>
        <v>11012237.649434455</v>
      </c>
      <c r="AF17" s="4">
        <f t="shared" si="1"/>
        <v>6629062.3695652178</v>
      </c>
      <c r="AG17" s="4">
        <f t="shared" si="1"/>
        <v>13344497.240630927</v>
      </c>
      <c r="AH17" s="4">
        <f t="shared" si="1"/>
        <v>26734526.751709707</v>
      </c>
      <c r="AI17" s="4">
        <f t="shared" si="1"/>
        <v>9675954.6739773322</v>
      </c>
      <c r="AJ17" s="4">
        <f t="shared" si="1"/>
        <v>9060011.9327939413</v>
      </c>
      <c r="AK17" s="4">
        <f t="shared" si="1"/>
        <v>12193331.439565219</v>
      </c>
      <c r="AL17" s="4">
        <f t="shared" si="1"/>
        <v>9116432.4304347821</v>
      </c>
      <c r="AM17" s="4">
        <f t="shared" si="1"/>
        <v>14755859.929130435</v>
      </c>
      <c r="AN17" s="4">
        <f t="shared" si="1"/>
        <v>2461801.1420910978</v>
      </c>
      <c r="AO17" s="4">
        <f t="shared" si="1"/>
        <v>15358351.594243217</v>
      </c>
      <c r="AP17" s="4">
        <f t="shared" si="1"/>
        <v>8751323.3826370277</v>
      </c>
      <c r="AQ17" s="4">
        <f t="shared" si="1"/>
        <v>11500720.888980057</v>
      </c>
      <c r="AR17" s="4">
        <f t="shared" si="1"/>
        <v>5939686.1929421388</v>
      </c>
      <c r="AS17" s="4">
        <f t="shared" si="1"/>
        <v>4978609.8865217399</v>
      </c>
      <c r="AT17" s="4">
        <f t="shared" si="1"/>
        <v>4709588.1123395441</v>
      </c>
      <c r="AU17" s="4">
        <f t="shared" si="1"/>
        <v>6881582.4269565213</v>
      </c>
      <c r="AV17" s="4">
        <f t="shared" si="1"/>
        <v>5290717.6208695658</v>
      </c>
      <c r="AW17" s="4">
        <f t="shared" si="1"/>
        <v>9132011.1158352382</v>
      </c>
      <c r="AX17" s="4">
        <f t="shared" si="1"/>
        <v>12691150.414906831</v>
      </c>
      <c r="AY17" s="4">
        <f t="shared" si="1"/>
        <v>12585055.593157895</v>
      </c>
      <c r="AZ17" s="4">
        <f t="shared" si="1"/>
        <v>8810289.6450343262</v>
      </c>
      <c r="BA17" s="4">
        <f t="shared" si="1"/>
        <v>95338416.145078748</v>
      </c>
      <c r="BB17" s="4">
        <f t="shared" si="1"/>
        <v>20137923.225501798</v>
      </c>
      <c r="BC17" s="4">
        <f t="shared" si="1"/>
        <v>5538995.702772148</v>
      </c>
      <c r="BD17" s="4">
        <f t="shared" si="1"/>
        <v>6063157.1565217394</v>
      </c>
      <c r="BE17" s="4">
        <f t="shared" si="1"/>
        <v>8116841.331863353</v>
      </c>
      <c r="BF17" s="4">
        <f t="shared" si="1"/>
        <v>14611808.751752205</v>
      </c>
      <c r="BG17" s="4">
        <f t="shared" si="1"/>
        <v>3549655.6239370159</v>
      </c>
      <c r="BH17" s="4">
        <f t="shared" si="1"/>
        <v>2024373.610931677</v>
      </c>
      <c r="BI17" s="4">
        <f t="shared" si="1"/>
        <v>5664797.3459093375</v>
      </c>
      <c r="BJ17" s="4">
        <f t="shared" si="1"/>
        <v>1385623.415102975</v>
      </c>
      <c r="BK17" s="4">
        <f t="shared" si="1"/>
        <v>8512908.7291304357</v>
      </c>
      <c r="BL17" s="4">
        <f t="shared" si="1"/>
        <v>2476555.7917391304</v>
      </c>
      <c r="BM17" s="4">
        <f t="shared" si="1"/>
        <v>4241026.4108695658</v>
      </c>
      <c r="BN17" s="4">
        <f t="shared" si="1"/>
        <v>16228764.618828593</v>
      </c>
      <c r="BO17" s="4">
        <f t="shared" si="1"/>
        <v>7297318.3468322968</v>
      </c>
      <c r="BP17" s="4">
        <f t="shared" si="1"/>
        <v>13032315.271788167</v>
      </c>
      <c r="BQ17" s="4">
        <f t="shared" ref="BQ17:CB17" si="2">BQ15-BQ16</f>
        <v>24166509.596248228</v>
      </c>
      <c r="BR17" s="4">
        <f t="shared" si="2"/>
        <v>19526109.686388798</v>
      </c>
      <c r="BS17" s="4">
        <f t="shared" si="2"/>
        <v>6112925.7436613264</v>
      </c>
      <c r="BT17" s="4">
        <f t="shared" si="2"/>
        <v>57510985.071504854</v>
      </c>
      <c r="BU17" s="4">
        <f t="shared" si="2"/>
        <v>14177081.252789581</v>
      </c>
      <c r="BV17" s="4">
        <f t="shared" si="2"/>
        <v>10625496.991410593</v>
      </c>
      <c r="BW17" s="4">
        <f t="shared" si="2"/>
        <v>2885133.6473913048</v>
      </c>
      <c r="BX17" s="4">
        <f t="shared" si="2"/>
        <v>6632697.79</v>
      </c>
      <c r="BY17" s="4">
        <f t="shared" si="2"/>
        <v>39510155.469313502</v>
      </c>
      <c r="BZ17" s="4">
        <f t="shared" si="2"/>
        <v>4645130.3486956526</v>
      </c>
      <c r="CA17" s="4">
        <f t="shared" si="2"/>
        <v>6860407.4378260858</v>
      </c>
      <c r="CB17" s="4">
        <f t="shared" si="2"/>
        <v>23795891.16194617</v>
      </c>
    </row>
    <row r="18" spans="1:82" x14ac:dyDescent="0.2">
      <c r="B18" s="3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</row>
    <row r="19" spans="1:82" x14ac:dyDescent="0.2">
      <c r="B19" s="33" t="s">
        <v>99</v>
      </c>
      <c r="C19" s="4">
        <f t="shared" ref="C19" si="3">SUM(D19:CB19)</f>
        <v>1307154332.6038485</v>
      </c>
      <c r="D19" s="4">
        <f>D17*D13</f>
        <v>241567703.33555126</v>
      </c>
      <c r="E19" s="4">
        <f t="shared" ref="E19:AI19" si="4">E17*E13</f>
        <v>25046238.296967149</v>
      </c>
      <c r="F19" s="4">
        <f t="shared" si="4"/>
        <v>3286121.0162869561</v>
      </c>
      <c r="G19" s="4">
        <f t="shared" si="4"/>
        <v>2977014.4844489056</v>
      </c>
      <c r="H19" s="4">
        <f t="shared" si="4"/>
        <v>12018021.196630435</v>
      </c>
      <c r="I19" s="4">
        <f t="shared" si="4"/>
        <v>21351674.956533924</v>
      </c>
      <c r="J19" s="4">
        <f t="shared" si="4"/>
        <v>9036480.6287518796</v>
      </c>
      <c r="K19" s="4">
        <f t="shared" si="4"/>
        <v>3004353.893861698</v>
      </c>
      <c r="L19" s="4">
        <f t="shared" si="4"/>
        <v>3465889.9955478255</v>
      </c>
      <c r="M19" s="4">
        <f t="shared" si="4"/>
        <v>2898077.4480000003</v>
      </c>
      <c r="N19" s="4">
        <f t="shared" si="4"/>
        <v>6727635.2161391303</v>
      </c>
      <c r="O19" s="4">
        <f t="shared" si="4"/>
        <v>17205296.031573914</v>
      </c>
      <c r="P19" s="4">
        <f t="shared" si="4"/>
        <v>20759260.165725593</v>
      </c>
      <c r="Q19" s="4">
        <f t="shared" si="4"/>
        <v>14887837.77571387</v>
      </c>
      <c r="R19" s="4">
        <f t="shared" si="4"/>
        <v>7734416.6671478255</v>
      </c>
      <c r="S19" s="4">
        <f t="shared" si="4"/>
        <v>10525929.046289537</v>
      </c>
      <c r="T19" s="4">
        <f t="shared" si="4"/>
        <v>16197860.174890162</v>
      </c>
      <c r="U19" s="4">
        <f t="shared" si="4"/>
        <v>10031713.929633332</v>
      </c>
      <c r="V19" s="4">
        <f t="shared" si="4"/>
        <v>11209621.331516245</v>
      </c>
      <c r="W19" s="4">
        <f t="shared" si="4"/>
        <v>12439450.824515745</v>
      </c>
      <c r="X19" s="4">
        <f t="shared" si="4"/>
        <v>18271487.934718601</v>
      </c>
      <c r="Y19" s="4">
        <f t="shared" si="4"/>
        <v>9645070.7556782588</v>
      </c>
      <c r="Z19" s="4">
        <f t="shared" si="4"/>
        <v>5115530.0337391309</v>
      </c>
      <c r="AA19" s="4">
        <f t="shared" si="4"/>
        <v>30492761.288946718</v>
      </c>
      <c r="AB19" s="4">
        <f t="shared" si="4"/>
        <v>3942400.7831432498</v>
      </c>
      <c r="AC19" s="4">
        <f t="shared" si="4"/>
        <v>21260087.54448238</v>
      </c>
      <c r="AD19" s="4">
        <f t="shared" si="4"/>
        <v>5281379.1151926117</v>
      </c>
      <c r="AE19" s="4">
        <f t="shared" si="4"/>
        <v>10241381.013974043</v>
      </c>
      <c r="AF19" s="4">
        <f t="shared" si="4"/>
        <v>8551490.4567391314</v>
      </c>
      <c r="AG19" s="4">
        <f t="shared" si="4"/>
        <v>16013396.68875711</v>
      </c>
      <c r="AH19" s="4">
        <f t="shared" si="4"/>
        <v>31546741.567017451</v>
      </c>
      <c r="AI19" s="4">
        <f t="shared" si="4"/>
        <v>12094943.342471665</v>
      </c>
      <c r="AJ19" s="4">
        <f t="shared" ref="AJ19:BO19" si="5">AJ17*AJ13</f>
        <v>14496019.092470307</v>
      </c>
      <c r="AK19" s="4">
        <f t="shared" si="5"/>
        <v>17314530.644182611</v>
      </c>
      <c r="AL19" s="4">
        <f t="shared" si="5"/>
        <v>12398348.105391305</v>
      </c>
      <c r="AM19" s="4">
        <f t="shared" si="5"/>
        <v>13575391.1348</v>
      </c>
      <c r="AN19" s="4">
        <f t="shared" si="5"/>
        <v>3618847.6788739138</v>
      </c>
      <c r="AO19" s="4">
        <f t="shared" si="5"/>
        <v>20426607.62034348</v>
      </c>
      <c r="AP19" s="4">
        <f t="shared" si="5"/>
        <v>11814286.566559989</v>
      </c>
      <c r="AQ19" s="4">
        <f t="shared" si="5"/>
        <v>14030879.484555669</v>
      </c>
      <c r="AR19" s="4">
        <f t="shared" si="5"/>
        <v>7008829.7076717233</v>
      </c>
      <c r="AS19" s="4">
        <f t="shared" si="5"/>
        <v>5974331.8638260877</v>
      </c>
      <c r="AT19" s="4">
        <f t="shared" si="5"/>
        <v>6122464.5460414076</v>
      </c>
      <c r="AU19" s="4">
        <f t="shared" si="5"/>
        <v>8877241.3307739124</v>
      </c>
      <c r="AV19" s="4">
        <f t="shared" si="5"/>
        <v>7142468.788173914</v>
      </c>
      <c r="AW19" s="4">
        <f t="shared" si="5"/>
        <v>9862572.0051020589</v>
      </c>
      <c r="AX19" s="4">
        <f t="shared" si="5"/>
        <v>14721734.481291924</v>
      </c>
      <c r="AY19" s="4">
        <f t="shared" si="5"/>
        <v>15353767.823652631</v>
      </c>
      <c r="AZ19" s="4">
        <f t="shared" si="5"/>
        <v>10484244.677590847</v>
      </c>
      <c r="BA19" s="4">
        <f t="shared" si="5"/>
        <v>72457196.270259842</v>
      </c>
      <c r="BB19" s="4">
        <f t="shared" si="5"/>
        <v>24366887.102857176</v>
      </c>
      <c r="BC19" s="4">
        <f t="shared" si="5"/>
        <v>7643814.0698255636</v>
      </c>
      <c r="BD19" s="4">
        <f t="shared" si="5"/>
        <v>7578946.4456521738</v>
      </c>
      <c r="BE19" s="4">
        <f t="shared" si="5"/>
        <v>11769419.931201862</v>
      </c>
      <c r="BF19" s="4">
        <f t="shared" si="5"/>
        <v>19725941.814865477</v>
      </c>
      <c r="BG19" s="4">
        <f t="shared" si="5"/>
        <v>4969517.873511822</v>
      </c>
      <c r="BH19" s="4">
        <f t="shared" si="5"/>
        <v>2813879.3191950307</v>
      </c>
      <c r="BI19" s="4">
        <f t="shared" si="5"/>
        <v>7477532.4966003262</v>
      </c>
      <c r="BJ19" s="4">
        <f t="shared" si="5"/>
        <v>1912160.3128421053</v>
      </c>
      <c r="BK19" s="4">
        <f t="shared" si="5"/>
        <v>11407297.697034784</v>
      </c>
      <c r="BL19" s="4">
        <f t="shared" si="5"/>
        <v>3343350.3188478262</v>
      </c>
      <c r="BM19" s="4">
        <f t="shared" si="5"/>
        <v>5810206.1828913055</v>
      </c>
      <c r="BN19" s="4">
        <f t="shared" si="5"/>
        <v>22395695.173983455</v>
      </c>
      <c r="BO19" s="4">
        <f t="shared" si="5"/>
        <v>9851379.7682236005</v>
      </c>
      <c r="BP19" s="4">
        <f t="shared" ref="BP19:CB19" si="6">BP17*BP13</f>
        <v>16811686.700606737</v>
      </c>
      <c r="BQ19" s="4">
        <f t="shared" si="6"/>
        <v>32141457.763010144</v>
      </c>
      <c r="BR19" s="4">
        <f t="shared" si="6"/>
        <v>26946031.367216539</v>
      </c>
      <c r="BS19" s="4">
        <f t="shared" si="6"/>
        <v>9719551.9324215092</v>
      </c>
      <c r="BT19" s="4">
        <f t="shared" si="6"/>
        <v>67862962.384375721</v>
      </c>
      <c r="BU19" s="4">
        <f t="shared" si="6"/>
        <v>12334060.689926935</v>
      </c>
      <c r="BV19" s="4">
        <f t="shared" si="6"/>
        <v>11156771.840981122</v>
      </c>
      <c r="BW19" s="4">
        <f t="shared" si="6"/>
        <v>3721822.4051347831</v>
      </c>
      <c r="BX19" s="4">
        <f t="shared" si="6"/>
        <v>7561275.4805999994</v>
      </c>
      <c r="BY19" s="4">
        <f t="shared" si="6"/>
        <v>47807288.11786934</v>
      </c>
      <c r="BZ19" s="4">
        <f t="shared" si="6"/>
        <v>5481253.8114608694</v>
      </c>
      <c r="CA19" s="4">
        <f t="shared" si="6"/>
        <v>8575509.2972826064</v>
      </c>
      <c r="CB19" s="4">
        <f t="shared" si="6"/>
        <v>25461603.543282405</v>
      </c>
    </row>
    <row r="20" spans="1:82" x14ac:dyDescent="0.2">
      <c r="B20" s="33"/>
      <c r="C20" s="33"/>
    </row>
    <row r="21" spans="1:82" s="32" customFormat="1" x14ac:dyDescent="0.2">
      <c r="A21" s="21"/>
      <c r="B21" s="21" t="s">
        <v>92</v>
      </c>
      <c r="C21" s="34">
        <f>C17*$C13</f>
        <v>1307154332.6038485</v>
      </c>
      <c r="D21" s="34">
        <f>D17*$C13</f>
        <v>201691266.7939502</v>
      </c>
      <c r="E21" s="34">
        <f t="shared" ref="E21:AH21" si="7">E17*$C13</f>
        <v>21841178.8824923</v>
      </c>
      <c r="F21" s="34">
        <f t="shared" si="7"/>
        <v>3250902.3735156059</v>
      </c>
      <c r="G21" s="34">
        <f t="shared" si="7"/>
        <v>2655060.0772725861</v>
      </c>
      <c r="H21" s="34">
        <f t="shared" si="7"/>
        <v>18864228.064210087</v>
      </c>
      <c r="I21" s="34">
        <f t="shared" si="7"/>
        <v>24887307.37617803</v>
      </c>
      <c r="J21" s="34">
        <f t="shared" si="7"/>
        <v>9250576.8966640811</v>
      </c>
      <c r="K21" s="34">
        <f t="shared" si="7"/>
        <v>2600635.6769957426</v>
      </c>
      <c r="L21" s="34">
        <f t="shared" si="7"/>
        <v>4975861.2086429261</v>
      </c>
      <c r="M21" s="34">
        <f t="shared" si="7"/>
        <v>2867017.6197529733</v>
      </c>
      <c r="N21" s="34">
        <f t="shared" si="7"/>
        <v>6187565.3907457627</v>
      </c>
      <c r="O21" s="34">
        <f t="shared" si="7"/>
        <v>20459465.839445826</v>
      </c>
      <c r="P21" s="34">
        <f t="shared" si="7"/>
        <v>17581843.400275853</v>
      </c>
      <c r="Q21" s="34">
        <f t="shared" si="7"/>
        <v>18645374.481013943</v>
      </c>
      <c r="R21" s="34">
        <f t="shared" si="7"/>
        <v>7342994.7124047885</v>
      </c>
      <c r="S21" s="34">
        <f t="shared" si="7"/>
        <v>10591120.57890898</v>
      </c>
      <c r="T21" s="34">
        <f t="shared" si="7"/>
        <v>21187634.490178909</v>
      </c>
      <c r="U21" s="34">
        <f t="shared" si="7"/>
        <v>12175049.646724949</v>
      </c>
      <c r="V21" s="34">
        <f t="shared" si="7"/>
        <v>17138292.589508139</v>
      </c>
      <c r="W21" s="34">
        <f t="shared" si="7"/>
        <v>16454266.876897285</v>
      </c>
      <c r="X21" s="34">
        <f t="shared" si="7"/>
        <v>25011676.348301411</v>
      </c>
      <c r="Y21" s="34">
        <f t="shared" si="7"/>
        <v>9960196.4117531031</v>
      </c>
      <c r="Z21" s="34">
        <f t="shared" si="7"/>
        <v>5018532.3589724842</v>
      </c>
      <c r="AA21" s="34">
        <f t="shared" si="7"/>
        <v>27827512.06141787</v>
      </c>
      <c r="AB21" s="34">
        <f t="shared" si="7"/>
        <v>3625919.3399349265</v>
      </c>
      <c r="AC21" s="34">
        <f t="shared" si="7"/>
        <v>22346749.560276695</v>
      </c>
      <c r="AD21" s="34">
        <f t="shared" si="7"/>
        <v>4819755.0768292332</v>
      </c>
      <c r="AE21" s="34">
        <f t="shared" si="7"/>
        <v>12964116.083506551</v>
      </c>
      <c r="AF21" s="34">
        <f t="shared" si="7"/>
        <v>7804039.1807437995</v>
      </c>
      <c r="AG21" s="34">
        <f t="shared" si="7"/>
        <v>15709760.069739936</v>
      </c>
      <c r="AH21" s="34">
        <f t="shared" si="7"/>
        <v>31473122.836626709</v>
      </c>
      <c r="AI21" s="34">
        <f t="shared" ref="AI21:BN21" si="8">AI17*$C13</f>
        <v>11390981.888102645</v>
      </c>
      <c r="AJ21" s="34">
        <f t="shared" si="8"/>
        <v>10665865.571901023</v>
      </c>
      <c r="AK21" s="34">
        <f t="shared" si="8"/>
        <v>14354554.383895963</v>
      </c>
      <c r="AL21" s="34">
        <f t="shared" si="8"/>
        <v>10732286.394279718</v>
      </c>
      <c r="AM21" s="34">
        <f t="shared" si="8"/>
        <v>17371281.579909779</v>
      </c>
      <c r="AN21" s="34">
        <f t="shared" si="8"/>
        <v>2898146.29837897</v>
      </c>
      <c r="AO21" s="34">
        <f t="shared" si="8"/>
        <v>18080562.66650787</v>
      </c>
      <c r="AP21" s="34">
        <f t="shared" si="8"/>
        <v>10302463.116806978</v>
      </c>
      <c r="AQ21" s="34">
        <f t="shared" si="8"/>
        <v>13539181.172357203</v>
      </c>
      <c r="AR21" s="34">
        <f t="shared" si="8"/>
        <v>6992473.6240011612</v>
      </c>
      <c r="AS21" s="34">
        <f t="shared" si="8"/>
        <v>5861050.0933637135</v>
      </c>
      <c r="AT21" s="34">
        <f t="shared" si="8"/>
        <v>5544345.20372051</v>
      </c>
      <c r="AU21" s="34">
        <f t="shared" si="8"/>
        <v>8101317.4852673784</v>
      </c>
      <c r="AV21" s="34">
        <f t="shared" si="8"/>
        <v>6228477.7704129126</v>
      </c>
      <c r="AW21" s="34">
        <f t="shared" si="8"/>
        <v>10750626.344105477</v>
      </c>
      <c r="AX21" s="34">
        <f t="shared" si="8"/>
        <v>14940609.933217712</v>
      </c>
      <c r="AY21" s="34">
        <f t="shared" si="8"/>
        <v>14815710.196325203</v>
      </c>
      <c r="AZ21" s="34">
        <f t="shared" si="8"/>
        <v>10371880.931338826</v>
      </c>
      <c r="BA21" s="34">
        <f t="shared" si="8"/>
        <v>112236798.13938005</v>
      </c>
      <c r="BB21" s="34">
        <f t="shared" si="8"/>
        <v>23707295.709292609</v>
      </c>
      <c r="BC21" s="34">
        <f t="shared" si="8"/>
        <v>6520762.2249661367</v>
      </c>
      <c r="BD21" s="34">
        <f t="shared" si="8"/>
        <v>7137829.3596604401</v>
      </c>
      <c r="BE21" s="34">
        <f t="shared" si="8"/>
        <v>9555521.4668913819</v>
      </c>
      <c r="BF21" s="34">
        <f t="shared" si="8"/>
        <v>17201697.86359822</v>
      </c>
      <c r="BG21" s="34">
        <f t="shared" si="8"/>
        <v>4178818.9676014357</v>
      </c>
      <c r="BH21" s="34">
        <f t="shared" si="8"/>
        <v>2383186.3535794094</v>
      </c>
      <c r="BI21" s="34">
        <f t="shared" si="8"/>
        <v>6668861.7445229227</v>
      </c>
      <c r="BJ21" s="34">
        <f t="shared" si="8"/>
        <v>1631220.045668219</v>
      </c>
      <c r="BK21" s="34">
        <f t="shared" si="8"/>
        <v>10021790.346888397</v>
      </c>
      <c r="BL21" s="34">
        <f t="shared" si="8"/>
        <v>2915516.1551599293</v>
      </c>
      <c r="BM21" s="34">
        <f t="shared" si="8"/>
        <v>4992732.6719609806</v>
      </c>
      <c r="BN21" s="34">
        <f t="shared" si="8"/>
        <v>19105253.18359822</v>
      </c>
      <c r="BO21" s="34">
        <f t="shared" ref="BO21:CB21" si="9">BO17*$C13</f>
        <v>8590741.0608319435</v>
      </c>
      <c r="BP21" s="34">
        <f t="shared" si="9"/>
        <v>15342245.000405867</v>
      </c>
      <c r="BQ21" s="34">
        <f t="shared" si="9"/>
        <v>28449934.128966674</v>
      </c>
      <c r="BR21" s="34">
        <f t="shared" si="9"/>
        <v>22987040.480971303</v>
      </c>
      <c r="BS21" s="34">
        <f t="shared" si="9"/>
        <v>7196419.244979783</v>
      </c>
      <c r="BT21" s="34">
        <f t="shared" si="9"/>
        <v>67704594.677185446</v>
      </c>
      <c r="BU21" s="34">
        <f t="shared" si="9"/>
        <v>16689916.521725947</v>
      </c>
      <c r="BV21" s="34">
        <f t="shared" si="9"/>
        <v>12508827.072822101</v>
      </c>
      <c r="BW21" s="34">
        <f t="shared" si="9"/>
        <v>3396512.9260657043</v>
      </c>
      <c r="BX21" s="34">
        <f t="shared" si="9"/>
        <v>7808318.9660180742</v>
      </c>
      <c r="BY21" s="34">
        <f t="shared" si="9"/>
        <v>46513184.539554209</v>
      </c>
      <c r="BZ21" s="34">
        <f t="shared" si="9"/>
        <v>5468462.5396367433</v>
      </c>
      <c r="CA21" s="34">
        <f t="shared" si="9"/>
        <v>8076389.3075533733</v>
      </c>
      <c r="CB21" s="34">
        <f t="shared" si="9"/>
        <v>28013624.94658846</v>
      </c>
      <c r="CC21" s="21"/>
      <c r="CD21" s="21"/>
    </row>
    <row r="22" spans="1:82" x14ac:dyDescent="0.2">
      <c r="B22" s="33"/>
      <c r="C22" s="33"/>
    </row>
    <row r="23" spans="1:82" x14ac:dyDescent="0.2">
      <c r="A23" s="35" t="s">
        <v>165</v>
      </c>
      <c r="B23" s="26" t="s">
        <v>0</v>
      </c>
      <c r="C23" s="2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</row>
    <row r="24" spans="1:82" x14ac:dyDescent="0.2">
      <c r="B24" s="30" t="s">
        <v>84</v>
      </c>
      <c r="C24" s="36">
        <f t="shared" ref="C24:C58" si="10">SUM(D24:CB24)</f>
        <v>66277132.25</v>
      </c>
      <c r="D24" s="9">
        <v>13978267.85</v>
      </c>
      <c r="E24" s="9">
        <v>653481.04999999993</v>
      </c>
      <c r="F24" s="9">
        <v>83966.799999999988</v>
      </c>
      <c r="G24" s="9">
        <v>41128.450000000004</v>
      </c>
      <c r="H24" s="9">
        <v>134401.19999999998</v>
      </c>
      <c r="I24" s="9">
        <v>849348.15</v>
      </c>
      <c r="J24" s="9">
        <v>682780.8</v>
      </c>
      <c r="K24" s="9">
        <v>39056.950000000004</v>
      </c>
      <c r="L24" s="9">
        <v>19250.000000000007</v>
      </c>
      <c r="M24" s="9">
        <v>25117.95</v>
      </c>
      <c r="N24" s="9">
        <v>86147.900000000009</v>
      </c>
      <c r="O24" s="9">
        <v>655963.70000000007</v>
      </c>
      <c r="P24" s="9">
        <v>2434724.2000000002</v>
      </c>
      <c r="Q24" s="9">
        <v>2301147.1</v>
      </c>
      <c r="R24" s="9">
        <v>447800.7</v>
      </c>
      <c r="S24" s="9">
        <v>1600081.7999999998</v>
      </c>
      <c r="T24" s="9">
        <v>3117332.5</v>
      </c>
      <c r="U24" s="9">
        <v>635866.24999999988</v>
      </c>
      <c r="V24" s="9">
        <v>2114078.3000000003</v>
      </c>
      <c r="W24" s="9">
        <v>2148593.7500000005</v>
      </c>
      <c r="X24" s="9">
        <v>2513531.5499999998</v>
      </c>
      <c r="Y24" s="9">
        <v>767629.8</v>
      </c>
      <c r="Z24" s="9">
        <v>246105.40000000002</v>
      </c>
      <c r="AA24" s="9">
        <v>2465610.5999999996</v>
      </c>
      <c r="AB24" s="9">
        <v>106632.4</v>
      </c>
      <c r="AC24" s="9">
        <v>1747398.5</v>
      </c>
      <c r="AD24" s="9">
        <v>454336.15000000008</v>
      </c>
      <c r="AE24" s="9">
        <v>2493207.25</v>
      </c>
      <c r="AF24" s="9">
        <v>337108.65</v>
      </c>
      <c r="AG24" s="9">
        <v>1247450.2000000002</v>
      </c>
      <c r="AH24" s="9">
        <v>2972406.7999999993</v>
      </c>
      <c r="AI24" s="9">
        <v>930213.10000000009</v>
      </c>
      <c r="AJ24" s="9">
        <v>609473.39999999991</v>
      </c>
      <c r="AK24" s="9">
        <v>619513</v>
      </c>
      <c r="AL24" s="9">
        <v>273312.35000000003</v>
      </c>
      <c r="AM24" s="9">
        <v>890110.10000000009</v>
      </c>
      <c r="AN24" s="9">
        <v>268532.5</v>
      </c>
      <c r="AO24" s="9">
        <v>378711.2</v>
      </c>
      <c r="AP24" s="9">
        <v>321779.09999999998</v>
      </c>
      <c r="AQ24" s="9">
        <v>425097.10000000009</v>
      </c>
      <c r="AR24" s="9">
        <v>269238.90000000002</v>
      </c>
      <c r="AS24" s="9">
        <v>27652.449999999993</v>
      </c>
      <c r="AT24" s="9">
        <v>91976.249999999985</v>
      </c>
      <c r="AU24" s="9">
        <v>221425.5</v>
      </c>
      <c r="AV24" s="9">
        <v>183008.19999999998</v>
      </c>
      <c r="AW24" s="9">
        <v>225108.09999999998</v>
      </c>
      <c r="AX24" s="9">
        <v>98150.15</v>
      </c>
      <c r="AY24" s="9">
        <v>464785.65</v>
      </c>
      <c r="AZ24" s="9">
        <v>255809.34999999998</v>
      </c>
      <c r="BA24" s="9">
        <v>2687031.4499999997</v>
      </c>
      <c r="BB24" s="9">
        <v>517767.1</v>
      </c>
      <c r="BC24" s="9">
        <v>261915.35</v>
      </c>
      <c r="BD24" s="9">
        <v>71554.05</v>
      </c>
      <c r="BE24" s="9">
        <v>172199.2</v>
      </c>
      <c r="BF24" s="9">
        <v>393065.89999999997</v>
      </c>
      <c r="BG24" s="9">
        <v>82595.149999999994</v>
      </c>
      <c r="BH24" s="9">
        <v>36132.899999999994</v>
      </c>
      <c r="BI24" s="9">
        <v>169157.4</v>
      </c>
      <c r="BJ24" s="9">
        <v>26511.3</v>
      </c>
      <c r="BK24" s="9">
        <v>344107.95</v>
      </c>
      <c r="BL24" s="9">
        <v>90032.8</v>
      </c>
      <c r="BM24" s="9">
        <v>66986.399999999994</v>
      </c>
      <c r="BN24" s="9">
        <v>727162.40000000014</v>
      </c>
      <c r="BO24" s="9">
        <v>247703.65</v>
      </c>
      <c r="BP24" s="9">
        <v>395728.39999999997</v>
      </c>
      <c r="BQ24" s="9">
        <v>1218367.7</v>
      </c>
      <c r="BR24" s="9">
        <v>650764.30000000005</v>
      </c>
      <c r="BS24" s="9">
        <v>278138.84999999998</v>
      </c>
      <c r="BT24" s="9">
        <v>1694229.5000000002</v>
      </c>
      <c r="BU24" s="9">
        <v>238970.20000000004</v>
      </c>
      <c r="BV24" s="9">
        <v>296432.85000000009</v>
      </c>
      <c r="BW24" s="9">
        <v>92150.650000000009</v>
      </c>
      <c r="BX24" s="9">
        <v>70076.549999999988</v>
      </c>
      <c r="BY24" s="9">
        <v>1045828.1000000002</v>
      </c>
      <c r="BZ24" s="9">
        <v>46249.850000000006</v>
      </c>
      <c r="CA24" s="9">
        <v>168832.3</v>
      </c>
      <c r="CB24" s="9">
        <v>233590.9</v>
      </c>
      <c r="CD24" s="3" t="s">
        <v>115</v>
      </c>
    </row>
    <row r="25" spans="1:82" x14ac:dyDescent="0.2">
      <c r="B25" s="30" t="s">
        <v>89</v>
      </c>
      <c r="C25" s="36">
        <f t="shared" si="10"/>
        <v>545380.6399999999</v>
      </c>
      <c r="D25" s="9">
        <v>166509.6</v>
      </c>
      <c r="E25" s="9">
        <v>9540.5</v>
      </c>
      <c r="F25" s="9">
        <v>19.399999999999999</v>
      </c>
      <c r="G25" s="9">
        <v>15.450000000000001</v>
      </c>
      <c r="H25" s="9">
        <v>94.3</v>
      </c>
      <c r="I25" s="9">
        <v>11691.400000000001</v>
      </c>
      <c r="J25" s="9">
        <v>1423.35</v>
      </c>
      <c r="K25" s="9">
        <v>12.55</v>
      </c>
      <c r="L25" s="9">
        <v>2741.4500000000003</v>
      </c>
      <c r="M25" s="9">
        <v>488.35</v>
      </c>
      <c r="N25" s="9">
        <v>527.85</v>
      </c>
      <c r="O25" s="9">
        <v>5608.6999999999989</v>
      </c>
      <c r="P25" s="9">
        <v>64681.04</v>
      </c>
      <c r="Q25" s="9">
        <v>4190.8999999999996</v>
      </c>
      <c r="R25" s="9">
        <v>499.20000000000005</v>
      </c>
      <c r="S25" s="9">
        <v>20683.599999999999</v>
      </c>
      <c r="T25" s="9">
        <v>12922.65</v>
      </c>
      <c r="U25" s="9">
        <v>71.849999999999994</v>
      </c>
      <c r="V25" s="9">
        <v>215.7</v>
      </c>
      <c r="W25" s="9">
        <v>35126.75</v>
      </c>
      <c r="X25" s="9">
        <v>13951.599999999999</v>
      </c>
      <c r="Y25" s="9">
        <v>4020.45</v>
      </c>
      <c r="Z25" s="9">
        <v>2836.25</v>
      </c>
      <c r="AA25" s="9">
        <v>19478</v>
      </c>
      <c r="AB25" s="9">
        <v>25.55</v>
      </c>
      <c r="AC25" s="9">
        <v>3258.05</v>
      </c>
      <c r="AD25" s="9">
        <v>45.9</v>
      </c>
      <c r="AE25" s="9">
        <v>103.75</v>
      </c>
      <c r="AF25" s="9">
        <v>55.900000000000006</v>
      </c>
      <c r="AG25" s="9">
        <v>1046.55</v>
      </c>
      <c r="AH25" s="9">
        <v>1957.3500000000001</v>
      </c>
      <c r="AI25" s="9">
        <v>1397.5</v>
      </c>
      <c r="AJ25" s="9">
        <v>263.39999999999998</v>
      </c>
      <c r="AK25" s="9">
        <v>1441.3000000000002</v>
      </c>
      <c r="AL25" s="9">
        <v>1798.6</v>
      </c>
      <c r="AM25" s="9">
        <v>2119.75</v>
      </c>
      <c r="AN25" s="9">
        <v>30.799999999999997</v>
      </c>
      <c r="AO25" s="9">
        <v>121.35</v>
      </c>
      <c r="AP25" s="9">
        <v>6797.65</v>
      </c>
      <c r="AQ25" s="9">
        <v>225.14999999999998</v>
      </c>
      <c r="AR25" s="9">
        <v>618.1</v>
      </c>
      <c r="AS25" s="9">
        <v>36.799999999999997</v>
      </c>
      <c r="AT25" s="9">
        <v>898.3</v>
      </c>
      <c r="AU25" s="9">
        <v>910.1</v>
      </c>
      <c r="AV25" s="9">
        <v>2906.2</v>
      </c>
      <c r="AW25" s="9">
        <v>13517.5</v>
      </c>
      <c r="AX25" s="9">
        <v>84.699999999999989</v>
      </c>
      <c r="AY25" s="9">
        <v>8499.1</v>
      </c>
      <c r="AZ25" s="9">
        <v>2301.8999999999996</v>
      </c>
      <c r="BA25" s="9">
        <v>9504.9</v>
      </c>
      <c r="BB25" s="9">
        <v>873.80000000000007</v>
      </c>
      <c r="BC25" s="9">
        <v>653</v>
      </c>
      <c r="BD25" s="9">
        <v>56.55</v>
      </c>
      <c r="BE25" s="9">
        <v>4005.3499999999995</v>
      </c>
      <c r="BF25" s="9">
        <v>10362.25</v>
      </c>
      <c r="BG25" s="9">
        <v>-35999.25</v>
      </c>
      <c r="BH25" s="9">
        <v>24.15</v>
      </c>
      <c r="BI25" s="9">
        <v>5231.25</v>
      </c>
      <c r="BJ25" s="9">
        <v>14</v>
      </c>
      <c r="BK25" s="9">
        <v>470.15000000000003</v>
      </c>
      <c r="BL25" s="9">
        <v>340.5</v>
      </c>
      <c r="BM25" s="9">
        <v>1394.1000000000001</v>
      </c>
      <c r="BN25" s="9">
        <v>18570.550000000003</v>
      </c>
      <c r="BO25" s="9">
        <v>364.9</v>
      </c>
      <c r="BP25" s="9">
        <v>4017.7</v>
      </c>
      <c r="BQ25" s="9">
        <v>4871</v>
      </c>
      <c r="BR25" s="9">
        <v>5705.2</v>
      </c>
      <c r="BS25" s="9">
        <v>3104.2999999999997</v>
      </c>
      <c r="BT25" s="9">
        <v>31734.6</v>
      </c>
      <c r="BU25" s="9">
        <v>842.52</v>
      </c>
      <c r="BV25" s="9">
        <v>11920</v>
      </c>
      <c r="BW25" s="9">
        <v>40</v>
      </c>
      <c r="BX25" s="9">
        <v>863.25</v>
      </c>
      <c r="BY25" s="9">
        <v>35845.130000000005</v>
      </c>
      <c r="BZ25" s="9">
        <v>35.700000000000003</v>
      </c>
      <c r="CA25" s="9">
        <v>911.69999999999993</v>
      </c>
      <c r="CB25" s="9">
        <v>1811.2</v>
      </c>
      <c r="CD25" s="3" t="s">
        <v>115</v>
      </c>
    </row>
    <row r="26" spans="1:82" s="32" customFormat="1" x14ac:dyDescent="0.2">
      <c r="A26" s="21"/>
      <c r="B26" s="32" t="s">
        <v>93</v>
      </c>
      <c r="C26" s="15">
        <f t="shared" si="10"/>
        <v>65731751.610000007</v>
      </c>
      <c r="D26" s="34">
        <f>D24-D25</f>
        <v>13811758.25</v>
      </c>
      <c r="E26" s="34">
        <f t="shared" ref="E26:BP26" si="11">E24-E25</f>
        <v>643940.54999999993</v>
      </c>
      <c r="F26" s="34">
        <f t="shared" si="11"/>
        <v>83947.4</v>
      </c>
      <c r="G26" s="34">
        <f t="shared" si="11"/>
        <v>41113.000000000007</v>
      </c>
      <c r="H26" s="34">
        <f t="shared" si="11"/>
        <v>134306.9</v>
      </c>
      <c r="I26" s="34">
        <f t="shared" si="11"/>
        <v>837656.75</v>
      </c>
      <c r="J26" s="34">
        <f t="shared" si="11"/>
        <v>681357.45000000007</v>
      </c>
      <c r="K26" s="34">
        <f t="shared" si="11"/>
        <v>39044.400000000001</v>
      </c>
      <c r="L26" s="34">
        <f t="shared" si="11"/>
        <v>16508.550000000007</v>
      </c>
      <c r="M26" s="34">
        <f t="shared" si="11"/>
        <v>24629.600000000002</v>
      </c>
      <c r="N26" s="34">
        <f t="shared" si="11"/>
        <v>85620.05</v>
      </c>
      <c r="O26" s="34">
        <f t="shared" si="11"/>
        <v>650355.00000000012</v>
      </c>
      <c r="P26" s="34">
        <f t="shared" si="11"/>
        <v>2370043.16</v>
      </c>
      <c r="Q26" s="34">
        <f t="shared" si="11"/>
        <v>2296956.2000000002</v>
      </c>
      <c r="R26" s="34">
        <f t="shared" si="11"/>
        <v>447301.5</v>
      </c>
      <c r="S26" s="34">
        <f t="shared" si="11"/>
        <v>1579398.1999999997</v>
      </c>
      <c r="T26" s="34">
        <f t="shared" si="11"/>
        <v>3104409.85</v>
      </c>
      <c r="U26" s="34">
        <f t="shared" si="11"/>
        <v>635794.39999999991</v>
      </c>
      <c r="V26" s="34">
        <f t="shared" si="11"/>
        <v>2113862.6</v>
      </c>
      <c r="W26" s="34">
        <f t="shared" si="11"/>
        <v>2113467.0000000005</v>
      </c>
      <c r="X26" s="34">
        <f t="shared" si="11"/>
        <v>2499579.9499999997</v>
      </c>
      <c r="Y26" s="34">
        <f t="shared" si="11"/>
        <v>763609.35000000009</v>
      </c>
      <c r="Z26" s="34">
        <f t="shared" si="11"/>
        <v>243269.15000000002</v>
      </c>
      <c r="AA26" s="34">
        <f t="shared" si="11"/>
        <v>2446132.5999999996</v>
      </c>
      <c r="AB26" s="34">
        <f t="shared" si="11"/>
        <v>106606.84999999999</v>
      </c>
      <c r="AC26" s="34">
        <f t="shared" si="11"/>
        <v>1744140.45</v>
      </c>
      <c r="AD26" s="34">
        <f t="shared" si="11"/>
        <v>454290.25000000006</v>
      </c>
      <c r="AE26" s="34">
        <f t="shared" si="11"/>
        <v>2493103.5</v>
      </c>
      <c r="AF26" s="34">
        <f t="shared" si="11"/>
        <v>337052.75</v>
      </c>
      <c r="AG26" s="34">
        <f t="shared" si="11"/>
        <v>1246403.6500000001</v>
      </c>
      <c r="AH26" s="34">
        <f t="shared" si="11"/>
        <v>2970449.4499999993</v>
      </c>
      <c r="AI26" s="34">
        <f t="shared" si="11"/>
        <v>928815.60000000009</v>
      </c>
      <c r="AJ26" s="34">
        <f t="shared" si="11"/>
        <v>609209.99999999988</v>
      </c>
      <c r="AK26" s="34">
        <f t="shared" si="11"/>
        <v>618071.69999999995</v>
      </c>
      <c r="AL26" s="34">
        <f t="shared" si="11"/>
        <v>271513.75000000006</v>
      </c>
      <c r="AM26" s="34">
        <f t="shared" si="11"/>
        <v>887990.35000000009</v>
      </c>
      <c r="AN26" s="34">
        <f t="shared" si="11"/>
        <v>268501.7</v>
      </c>
      <c r="AO26" s="34">
        <f t="shared" si="11"/>
        <v>378589.85000000003</v>
      </c>
      <c r="AP26" s="34">
        <f t="shared" si="11"/>
        <v>314981.44999999995</v>
      </c>
      <c r="AQ26" s="34">
        <f t="shared" si="11"/>
        <v>424871.95000000007</v>
      </c>
      <c r="AR26" s="34">
        <f t="shared" si="11"/>
        <v>268620.80000000005</v>
      </c>
      <c r="AS26" s="34">
        <f t="shared" si="11"/>
        <v>27615.649999999994</v>
      </c>
      <c r="AT26" s="34">
        <f t="shared" si="11"/>
        <v>91077.949999999983</v>
      </c>
      <c r="AU26" s="34">
        <f t="shared" si="11"/>
        <v>220515.4</v>
      </c>
      <c r="AV26" s="34">
        <f t="shared" si="11"/>
        <v>180101.99999999997</v>
      </c>
      <c r="AW26" s="34">
        <f t="shared" si="11"/>
        <v>211590.59999999998</v>
      </c>
      <c r="AX26" s="34">
        <f t="shared" si="11"/>
        <v>98065.45</v>
      </c>
      <c r="AY26" s="34">
        <f t="shared" si="11"/>
        <v>456286.55000000005</v>
      </c>
      <c r="AZ26" s="34">
        <f t="shared" si="11"/>
        <v>253507.44999999998</v>
      </c>
      <c r="BA26" s="34">
        <f t="shared" si="11"/>
        <v>2677526.5499999998</v>
      </c>
      <c r="BB26" s="34">
        <f t="shared" si="11"/>
        <v>516893.3</v>
      </c>
      <c r="BC26" s="34">
        <f t="shared" si="11"/>
        <v>261262.35</v>
      </c>
      <c r="BD26" s="34">
        <f t="shared" si="11"/>
        <v>71497.5</v>
      </c>
      <c r="BE26" s="34">
        <f t="shared" si="11"/>
        <v>168193.85</v>
      </c>
      <c r="BF26" s="34">
        <f t="shared" si="11"/>
        <v>382703.64999999997</v>
      </c>
      <c r="BG26" s="34">
        <f t="shared" si="11"/>
        <v>118594.4</v>
      </c>
      <c r="BH26" s="34">
        <f t="shared" si="11"/>
        <v>36108.749999999993</v>
      </c>
      <c r="BI26" s="34">
        <f t="shared" si="11"/>
        <v>163926.15</v>
      </c>
      <c r="BJ26" s="34">
        <f t="shared" si="11"/>
        <v>26497.3</v>
      </c>
      <c r="BK26" s="34">
        <f t="shared" si="11"/>
        <v>343637.8</v>
      </c>
      <c r="BL26" s="34">
        <f t="shared" si="11"/>
        <v>89692.3</v>
      </c>
      <c r="BM26" s="34">
        <f t="shared" si="11"/>
        <v>65592.299999999988</v>
      </c>
      <c r="BN26" s="34">
        <f t="shared" si="11"/>
        <v>708591.85000000009</v>
      </c>
      <c r="BO26" s="34">
        <f t="shared" si="11"/>
        <v>247338.75</v>
      </c>
      <c r="BP26" s="34">
        <f t="shared" si="11"/>
        <v>391710.69999999995</v>
      </c>
      <c r="BQ26" s="34">
        <f t="shared" ref="BQ26:CB26" si="12">BQ24-BQ25</f>
        <v>1213496.7</v>
      </c>
      <c r="BR26" s="34">
        <f t="shared" si="12"/>
        <v>645059.10000000009</v>
      </c>
      <c r="BS26" s="34">
        <f t="shared" si="12"/>
        <v>275034.55</v>
      </c>
      <c r="BT26" s="34">
        <f t="shared" si="12"/>
        <v>1662494.9000000001</v>
      </c>
      <c r="BU26" s="34">
        <f t="shared" si="12"/>
        <v>238127.68000000005</v>
      </c>
      <c r="BV26" s="34">
        <f t="shared" si="12"/>
        <v>284512.85000000009</v>
      </c>
      <c r="BW26" s="34">
        <f t="shared" si="12"/>
        <v>92110.650000000009</v>
      </c>
      <c r="BX26" s="34">
        <f t="shared" si="12"/>
        <v>69213.299999999988</v>
      </c>
      <c r="BY26" s="34">
        <f t="shared" si="12"/>
        <v>1009982.9700000002</v>
      </c>
      <c r="BZ26" s="34">
        <f t="shared" si="12"/>
        <v>46214.150000000009</v>
      </c>
      <c r="CA26" s="34">
        <f t="shared" si="12"/>
        <v>167920.59999999998</v>
      </c>
      <c r="CB26" s="34">
        <f t="shared" si="12"/>
        <v>231779.69999999998</v>
      </c>
      <c r="CC26" s="21"/>
      <c r="CD26" s="21"/>
    </row>
    <row r="27" spans="1:82" x14ac:dyDescent="0.2">
      <c r="B27" s="30"/>
      <c r="C27" s="36"/>
    </row>
    <row r="28" spans="1:82" x14ac:dyDescent="0.2">
      <c r="A28" s="35" t="s">
        <v>166</v>
      </c>
      <c r="B28" s="26" t="s">
        <v>1</v>
      </c>
      <c r="C28" s="37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</row>
    <row r="29" spans="1:82" x14ac:dyDescent="0.2">
      <c r="B29" s="30" t="s">
        <v>84</v>
      </c>
      <c r="C29" s="36">
        <f t="shared" si="10"/>
        <v>211073631.70000002</v>
      </c>
      <c r="D29" s="9">
        <v>45696548.700000003</v>
      </c>
      <c r="E29" s="9">
        <v>1712813.2</v>
      </c>
      <c r="F29" s="9">
        <v>143367.1</v>
      </c>
      <c r="G29" s="9">
        <v>72193.350000000006</v>
      </c>
      <c r="H29" s="9">
        <v>710916.45</v>
      </c>
      <c r="I29" s="9">
        <v>3263312.95</v>
      </c>
      <c r="J29" s="9">
        <v>1296311.8999999999</v>
      </c>
      <c r="K29" s="9">
        <v>104977.55</v>
      </c>
      <c r="L29" s="9">
        <v>445010.25</v>
      </c>
      <c r="M29" s="9">
        <v>66018.05</v>
      </c>
      <c r="N29" s="9">
        <v>72443.95</v>
      </c>
      <c r="O29" s="9">
        <v>1010152.3</v>
      </c>
      <c r="P29" s="9">
        <v>3144480.3</v>
      </c>
      <c r="Q29" s="9">
        <v>5486734.5999999996</v>
      </c>
      <c r="R29" s="9">
        <v>980301.35</v>
      </c>
      <c r="S29" s="9">
        <v>1518710.55</v>
      </c>
      <c r="T29" s="9">
        <v>4533498.0999999996</v>
      </c>
      <c r="U29" s="9">
        <v>1315481.6000000001</v>
      </c>
      <c r="V29" s="9">
        <v>6256045.6500000004</v>
      </c>
      <c r="W29" s="9">
        <v>2104993.4500000002</v>
      </c>
      <c r="X29" s="9">
        <v>6634138.8499999996</v>
      </c>
      <c r="Y29" s="9">
        <v>2081045.5</v>
      </c>
      <c r="Z29" s="9">
        <v>308336.3</v>
      </c>
      <c r="AA29" s="9">
        <v>4375030.8499999996</v>
      </c>
      <c r="AB29" s="9">
        <v>69279.149999999994</v>
      </c>
      <c r="AC29" s="9">
        <v>2970198.2</v>
      </c>
      <c r="AD29" s="9">
        <v>802545.4</v>
      </c>
      <c r="AE29" s="9">
        <v>5410819.4500000002</v>
      </c>
      <c r="AF29" s="9">
        <v>443283.5</v>
      </c>
      <c r="AG29" s="9">
        <v>906343.8</v>
      </c>
      <c r="AH29" s="9">
        <v>9256035.9499999993</v>
      </c>
      <c r="AI29" s="9">
        <v>1709540.4</v>
      </c>
      <c r="AJ29" s="9">
        <v>1451002.9</v>
      </c>
      <c r="AK29" s="9">
        <v>1561447.25</v>
      </c>
      <c r="AL29" s="9">
        <v>758641.45</v>
      </c>
      <c r="AM29" s="9">
        <v>1494609.25</v>
      </c>
      <c r="AN29" s="9">
        <v>64584.95</v>
      </c>
      <c r="AO29" s="9">
        <v>1994497.05</v>
      </c>
      <c r="AP29" s="9">
        <v>1234681.95</v>
      </c>
      <c r="AQ29" s="9">
        <v>628325.80000000005</v>
      </c>
      <c r="AR29" s="9">
        <v>273692.5</v>
      </c>
      <c r="AS29" s="9">
        <v>104930.4</v>
      </c>
      <c r="AT29" s="9">
        <v>390159.15</v>
      </c>
      <c r="AU29" s="9">
        <v>617682.75</v>
      </c>
      <c r="AV29" s="9">
        <v>693037.8</v>
      </c>
      <c r="AW29" s="9">
        <v>652007.69999999995</v>
      </c>
      <c r="AX29" s="9">
        <v>507867.95</v>
      </c>
      <c r="AY29" s="9">
        <v>2293042.6</v>
      </c>
      <c r="AZ29" s="9">
        <v>817808.3</v>
      </c>
      <c r="BA29" s="9">
        <v>35717720.649999999</v>
      </c>
      <c r="BB29" s="9">
        <v>1858615</v>
      </c>
      <c r="BC29" s="9">
        <v>225475.65</v>
      </c>
      <c r="BD29" s="9">
        <v>340217.7</v>
      </c>
      <c r="BE29" s="9">
        <v>1788606.4</v>
      </c>
      <c r="BF29" s="9">
        <v>2011872.75</v>
      </c>
      <c r="BG29" s="9">
        <v>344779.55</v>
      </c>
      <c r="BH29" s="9">
        <v>82141.45</v>
      </c>
      <c r="BI29" s="9">
        <v>41565.75</v>
      </c>
      <c r="BJ29" s="9">
        <v>33574.400000000001</v>
      </c>
      <c r="BK29" s="9">
        <v>1330644.55</v>
      </c>
      <c r="BL29" s="9">
        <v>219639.3</v>
      </c>
      <c r="BM29" s="9">
        <v>230229.8</v>
      </c>
      <c r="BN29" s="9">
        <v>2462554.4500000002</v>
      </c>
      <c r="BO29" s="9">
        <v>962114.85</v>
      </c>
      <c r="BP29" s="9">
        <v>917175.5</v>
      </c>
      <c r="BQ29" s="9">
        <v>4598968.7</v>
      </c>
      <c r="BR29" s="9">
        <v>2628569.7000000002</v>
      </c>
      <c r="BS29" s="9">
        <v>1625155.65</v>
      </c>
      <c r="BT29" s="9">
        <v>11343446.85</v>
      </c>
      <c r="BU29" s="9">
        <v>1478336.85</v>
      </c>
      <c r="BV29" s="9">
        <v>2099185.5</v>
      </c>
      <c r="BW29" s="9">
        <v>152321.45000000001</v>
      </c>
      <c r="BX29" s="9">
        <v>293718.90000000002</v>
      </c>
      <c r="BY29" s="9">
        <v>5668544.2999999998</v>
      </c>
      <c r="BZ29" s="9">
        <v>530930.19999999995</v>
      </c>
      <c r="CA29" s="9">
        <v>490548.4</v>
      </c>
      <c r="CB29" s="9">
        <v>1158049</v>
      </c>
      <c r="CD29" s="3" t="s">
        <v>115</v>
      </c>
    </row>
    <row r="30" spans="1:82" x14ac:dyDescent="0.2">
      <c r="B30" s="30" t="s">
        <v>89</v>
      </c>
      <c r="C30" s="36">
        <f t="shared" si="10"/>
        <v>687408.5499999997</v>
      </c>
      <c r="D30" s="9">
        <v>199713.55</v>
      </c>
      <c r="E30" s="9">
        <v>2128.9499999999998</v>
      </c>
      <c r="F30" s="9">
        <v>1122.9000000000001</v>
      </c>
      <c r="G30" s="9">
        <v>1003.45</v>
      </c>
      <c r="H30" s="9">
        <v>502.40000000000003</v>
      </c>
      <c r="I30" s="9">
        <v>5194.5</v>
      </c>
      <c r="J30" s="9">
        <v>62.55</v>
      </c>
      <c r="K30" s="9">
        <v>27.3</v>
      </c>
      <c r="L30" s="9">
        <v>87.05</v>
      </c>
      <c r="M30" s="9">
        <v>81.900000000000006</v>
      </c>
      <c r="N30" s="9">
        <v>44.1</v>
      </c>
      <c r="O30" s="9">
        <v>1280.0999999999999</v>
      </c>
      <c r="P30" s="9">
        <v>61152.95</v>
      </c>
      <c r="Q30" s="9">
        <v>18999.150000000001</v>
      </c>
      <c r="R30" s="9">
        <v>517.29999999999995</v>
      </c>
      <c r="S30" s="9">
        <v>46078.5</v>
      </c>
      <c r="T30" s="9">
        <v>20483.3</v>
      </c>
      <c r="U30" s="9">
        <v>177.05</v>
      </c>
      <c r="V30" s="9">
        <v>5148.6499999999996</v>
      </c>
      <c r="W30" s="9">
        <v>3559.5499999999997</v>
      </c>
      <c r="X30" s="9">
        <v>1992</v>
      </c>
      <c r="Y30" s="9">
        <v>1387.9499999999998</v>
      </c>
      <c r="Z30" s="9">
        <v>29.9</v>
      </c>
      <c r="AA30" s="9">
        <v>8351.75</v>
      </c>
      <c r="AB30" s="9">
        <v>9.35</v>
      </c>
      <c r="AC30" s="9">
        <v>22442.050000000003</v>
      </c>
      <c r="AD30" s="9">
        <v>1192.25</v>
      </c>
      <c r="AE30" s="9">
        <v>746.55</v>
      </c>
      <c r="AF30" s="9">
        <v>1079.05</v>
      </c>
      <c r="AG30" s="9">
        <v>-10044.1</v>
      </c>
      <c r="AH30" s="9">
        <v>15278.7</v>
      </c>
      <c r="AI30" s="9">
        <v>1150.2</v>
      </c>
      <c r="AJ30" s="9">
        <v>1348.3000000000002</v>
      </c>
      <c r="AK30" s="9">
        <v>1707.05</v>
      </c>
      <c r="AL30" s="9">
        <v>105.14999999999999</v>
      </c>
      <c r="AM30" s="9">
        <v>237.64999999999998</v>
      </c>
      <c r="AN30" s="9">
        <v>13.8</v>
      </c>
      <c r="AO30" s="9">
        <v>200.35</v>
      </c>
      <c r="AP30" s="9">
        <v>221.2</v>
      </c>
      <c r="AQ30" s="9">
        <v>739.34999999999991</v>
      </c>
      <c r="AR30" s="9">
        <v>767</v>
      </c>
      <c r="AS30" s="9">
        <v>960.75</v>
      </c>
      <c r="AT30" s="9">
        <v>51058.549999999996</v>
      </c>
      <c r="AU30" s="9">
        <v>103.75</v>
      </c>
      <c r="AV30" s="9">
        <v>673.6</v>
      </c>
      <c r="AW30" s="9">
        <v>496</v>
      </c>
      <c r="AX30" s="9">
        <v>793.95</v>
      </c>
      <c r="AY30" s="9">
        <v>2626.45</v>
      </c>
      <c r="AZ30" s="9">
        <v>8957.7000000000007</v>
      </c>
      <c r="BA30" s="9">
        <v>26261.05</v>
      </c>
      <c r="BB30" s="9">
        <v>4922.8499999999995</v>
      </c>
      <c r="BC30" s="9">
        <v>89.1</v>
      </c>
      <c r="BD30" s="9">
        <v>504.05</v>
      </c>
      <c r="BE30" s="9">
        <v>131.55000000000001</v>
      </c>
      <c r="BF30" s="9">
        <v>27999.249999999996</v>
      </c>
      <c r="BG30" s="9">
        <v>4908.0999999999995</v>
      </c>
      <c r="BH30" s="9">
        <v>665.15</v>
      </c>
      <c r="BI30" s="9">
        <v>2548</v>
      </c>
      <c r="BJ30" s="9">
        <v>13.05</v>
      </c>
      <c r="BK30" s="9">
        <v>764.8</v>
      </c>
      <c r="BL30" s="9">
        <v>-273.55</v>
      </c>
      <c r="BM30" s="9">
        <v>13.35</v>
      </c>
      <c r="BN30" s="9">
        <v>29544</v>
      </c>
      <c r="BO30" s="9">
        <v>1088.5</v>
      </c>
      <c r="BP30" s="9">
        <v>3430.3</v>
      </c>
      <c r="BQ30" s="9">
        <v>12981</v>
      </c>
      <c r="BR30" s="9">
        <v>610.79999999999995</v>
      </c>
      <c r="BS30" s="9">
        <v>1336.2</v>
      </c>
      <c r="BT30" s="9">
        <v>66003.95</v>
      </c>
      <c r="BU30" s="9">
        <v>4086.6499999999996</v>
      </c>
      <c r="BV30" s="9">
        <v>6020.45</v>
      </c>
      <c r="BW30" s="9">
        <v>32.15</v>
      </c>
      <c r="BX30" s="9">
        <v>67.75</v>
      </c>
      <c r="BY30" s="9">
        <v>8953.1</v>
      </c>
      <c r="BZ30" s="9">
        <v>2114.4499999999998</v>
      </c>
      <c r="CA30" s="9">
        <v>57.349999999999994</v>
      </c>
      <c r="CB30" s="9">
        <v>543.70000000000005</v>
      </c>
      <c r="CD30" s="3" t="s">
        <v>115</v>
      </c>
    </row>
    <row r="31" spans="1:82" x14ac:dyDescent="0.2">
      <c r="A31" s="38"/>
      <c r="B31" s="30" t="s">
        <v>90</v>
      </c>
      <c r="C31" s="36">
        <f t="shared" si="10"/>
        <v>1291999.6000000001</v>
      </c>
      <c r="D31" s="9">
        <v>335140.90000000002</v>
      </c>
      <c r="E31" s="9">
        <v>1151.3499999999999</v>
      </c>
      <c r="F31" s="9"/>
      <c r="G31" s="9"/>
      <c r="H31" s="9"/>
      <c r="I31" s="9"/>
      <c r="J31" s="9">
        <v>11080.1</v>
      </c>
      <c r="K31" s="9"/>
      <c r="L31" s="9"/>
      <c r="M31" s="9"/>
      <c r="N31" s="9"/>
      <c r="O31" s="9"/>
      <c r="P31" s="9"/>
      <c r="Q31" s="9">
        <v>273.7</v>
      </c>
      <c r="R31" s="9"/>
      <c r="S31" s="9"/>
      <c r="T31" s="9">
        <v>51607.8</v>
      </c>
      <c r="U31" s="9">
        <v>779</v>
      </c>
      <c r="V31" s="9"/>
      <c r="W31" s="9">
        <v>64.75</v>
      </c>
      <c r="X31" s="9">
        <v>2812</v>
      </c>
      <c r="Y31" s="9"/>
      <c r="Z31" s="9"/>
      <c r="AA31" s="9"/>
      <c r="AB31" s="9"/>
      <c r="AC31" s="9">
        <v>1390.2</v>
      </c>
      <c r="AD31" s="9"/>
      <c r="AE31" s="9">
        <v>10884.55</v>
      </c>
      <c r="AF31" s="9"/>
      <c r="AG31" s="9"/>
      <c r="AH31" s="9">
        <v>3360.15</v>
      </c>
      <c r="AI31" s="9"/>
      <c r="AJ31" s="9"/>
      <c r="AK31" s="9"/>
      <c r="AL31" s="9">
        <v>11110.7</v>
      </c>
      <c r="AM31" s="9"/>
      <c r="AN31" s="9"/>
      <c r="AO31" s="9"/>
      <c r="AP31" s="9"/>
      <c r="AQ31" s="9">
        <v>241.1</v>
      </c>
      <c r="AR31" s="9"/>
      <c r="AS31" s="9"/>
      <c r="AT31" s="9"/>
      <c r="AU31" s="9"/>
      <c r="AV31" s="9"/>
      <c r="AW31" s="9"/>
      <c r="AX31" s="9"/>
      <c r="AY31" s="9"/>
      <c r="AZ31" s="9"/>
      <c r="BA31" s="9">
        <v>14953.15</v>
      </c>
      <c r="BB31" s="9">
        <v>18384.05</v>
      </c>
      <c r="BC31" s="9"/>
      <c r="BD31" s="9"/>
      <c r="BE31" s="9"/>
      <c r="BF31" s="9">
        <v>1236.75</v>
      </c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>
        <v>827529.35000000009</v>
      </c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38"/>
      <c r="CD31" s="38"/>
    </row>
    <row r="32" spans="1:82" s="32" customFormat="1" x14ac:dyDescent="0.2">
      <c r="A32" s="21"/>
      <c r="B32" s="32" t="s">
        <v>93</v>
      </c>
      <c r="C32" s="15">
        <f t="shared" si="10"/>
        <v>209094223.54999998</v>
      </c>
      <c r="D32" s="15">
        <f>D29-D30-D31</f>
        <v>45161694.250000007</v>
      </c>
      <c r="E32" s="15">
        <f t="shared" ref="E32:BP32" si="13">E29-E30-E31</f>
        <v>1709532.9</v>
      </c>
      <c r="F32" s="15">
        <f t="shared" si="13"/>
        <v>142244.20000000001</v>
      </c>
      <c r="G32" s="15">
        <f t="shared" si="13"/>
        <v>71189.900000000009</v>
      </c>
      <c r="H32" s="15">
        <f t="shared" si="13"/>
        <v>710414.04999999993</v>
      </c>
      <c r="I32" s="15">
        <f t="shared" si="13"/>
        <v>3258118.45</v>
      </c>
      <c r="J32" s="15">
        <f t="shared" si="13"/>
        <v>1285169.2499999998</v>
      </c>
      <c r="K32" s="15">
        <f t="shared" si="13"/>
        <v>104950.25</v>
      </c>
      <c r="L32" s="15">
        <f t="shared" si="13"/>
        <v>444923.2</v>
      </c>
      <c r="M32" s="15">
        <f t="shared" si="13"/>
        <v>65936.150000000009</v>
      </c>
      <c r="N32" s="15">
        <f t="shared" si="13"/>
        <v>72399.849999999991</v>
      </c>
      <c r="O32" s="15">
        <f t="shared" si="13"/>
        <v>1008872.2000000001</v>
      </c>
      <c r="P32" s="15">
        <f t="shared" si="13"/>
        <v>3083327.3499999996</v>
      </c>
      <c r="Q32" s="15">
        <f t="shared" si="13"/>
        <v>5467461.7499999991</v>
      </c>
      <c r="R32" s="15">
        <f t="shared" si="13"/>
        <v>979784.04999999993</v>
      </c>
      <c r="S32" s="15">
        <f t="shared" si="13"/>
        <v>1472632.05</v>
      </c>
      <c r="T32" s="15">
        <f t="shared" si="13"/>
        <v>4461407</v>
      </c>
      <c r="U32" s="15">
        <f t="shared" si="13"/>
        <v>1314525.55</v>
      </c>
      <c r="V32" s="15">
        <f t="shared" si="13"/>
        <v>6250897</v>
      </c>
      <c r="W32" s="15">
        <f t="shared" si="13"/>
        <v>2101369.1500000004</v>
      </c>
      <c r="X32" s="15">
        <f t="shared" si="13"/>
        <v>6629334.8499999996</v>
      </c>
      <c r="Y32" s="15">
        <f t="shared" si="13"/>
        <v>2079657.55</v>
      </c>
      <c r="Z32" s="15">
        <f t="shared" si="13"/>
        <v>308306.39999999997</v>
      </c>
      <c r="AA32" s="15">
        <f t="shared" si="13"/>
        <v>4366679.0999999996</v>
      </c>
      <c r="AB32" s="15">
        <f t="shared" si="13"/>
        <v>69269.799999999988</v>
      </c>
      <c r="AC32" s="15">
        <f t="shared" si="13"/>
        <v>2946365.95</v>
      </c>
      <c r="AD32" s="15">
        <f t="shared" si="13"/>
        <v>801353.15</v>
      </c>
      <c r="AE32" s="15">
        <f t="shared" si="13"/>
        <v>5399188.3500000006</v>
      </c>
      <c r="AF32" s="15">
        <f t="shared" si="13"/>
        <v>442204.45</v>
      </c>
      <c r="AG32" s="15">
        <f t="shared" si="13"/>
        <v>916387.9</v>
      </c>
      <c r="AH32" s="15">
        <f t="shared" si="13"/>
        <v>9237397.0999999996</v>
      </c>
      <c r="AI32" s="15">
        <f t="shared" si="13"/>
        <v>1708390.2</v>
      </c>
      <c r="AJ32" s="15">
        <f t="shared" si="13"/>
        <v>1449654.5999999999</v>
      </c>
      <c r="AK32" s="15">
        <f t="shared" si="13"/>
        <v>1559740.2</v>
      </c>
      <c r="AL32" s="15">
        <f t="shared" si="13"/>
        <v>747425.6</v>
      </c>
      <c r="AM32" s="15">
        <f t="shared" si="13"/>
        <v>1494371.6</v>
      </c>
      <c r="AN32" s="15">
        <f t="shared" si="13"/>
        <v>64571.149999999994</v>
      </c>
      <c r="AO32" s="15">
        <f t="shared" si="13"/>
        <v>1994296.7</v>
      </c>
      <c r="AP32" s="15">
        <f t="shared" si="13"/>
        <v>1234460.75</v>
      </c>
      <c r="AQ32" s="15">
        <f t="shared" si="13"/>
        <v>627345.35000000009</v>
      </c>
      <c r="AR32" s="15">
        <f t="shared" si="13"/>
        <v>272925.5</v>
      </c>
      <c r="AS32" s="15">
        <f t="shared" si="13"/>
        <v>103969.65</v>
      </c>
      <c r="AT32" s="15">
        <f t="shared" si="13"/>
        <v>339100.60000000003</v>
      </c>
      <c r="AU32" s="15">
        <f t="shared" si="13"/>
        <v>617579</v>
      </c>
      <c r="AV32" s="15">
        <f t="shared" si="13"/>
        <v>692364.20000000007</v>
      </c>
      <c r="AW32" s="15">
        <f t="shared" si="13"/>
        <v>651511.69999999995</v>
      </c>
      <c r="AX32" s="15">
        <f t="shared" si="13"/>
        <v>507074</v>
      </c>
      <c r="AY32" s="15">
        <f t="shared" si="13"/>
        <v>2290416.15</v>
      </c>
      <c r="AZ32" s="15">
        <f t="shared" si="13"/>
        <v>808850.60000000009</v>
      </c>
      <c r="BA32" s="15">
        <f t="shared" si="13"/>
        <v>35676506.450000003</v>
      </c>
      <c r="BB32" s="15">
        <f t="shared" si="13"/>
        <v>1835308.0999999999</v>
      </c>
      <c r="BC32" s="15">
        <f t="shared" si="13"/>
        <v>225386.55</v>
      </c>
      <c r="BD32" s="15">
        <f t="shared" si="13"/>
        <v>339713.65</v>
      </c>
      <c r="BE32" s="15">
        <f t="shared" si="13"/>
        <v>1788474.8499999999</v>
      </c>
      <c r="BF32" s="15">
        <f t="shared" si="13"/>
        <v>1982636.75</v>
      </c>
      <c r="BG32" s="15">
        <f t="shared" si="13"/>
        <v>339871.45</v>
      </c>
      <c r="BH32" s="15">
        <f t="shared" si="13"/>
        <v>81476.3</v>
      </c>
      <c r="BI32" s="15">
        <f t="shared" si="13"/>
        <v>39017.75</v>
      </c>
      <c r="BJ32" s="15">
        <f t="shared" si="13"/>
        <v>33561.35</v>
      </c>
      <c r="BK32" s="15">
        <f t="shared" si="13"/>
        <v>1329879.75</v>
      </c>
      <c r="BL32" s="15">
        <f t="shared" si="13"/>
        <v>219912.84999999998</v>
      </c>
      <c r="BM32" s="15">
        <f t="shared" si="13"/>
        <v>230216.44999999998</v>
      </c>
      <c r="BN32" s="15">
        <f t="shared" si="13"/>
        <v>2433010.4500000002</v>
      </c>
      <c r="BO32" s="15">
        <f t="shared" si="13"/>
        <v>961026.35</v>
      </c>
      <c r="BP32" s="15">
        <f t="shared" si="13"/>
        <v>913745.2</v>
      </c>
      <c r="BQ32" s="15">
        <f t="shared" ref="BQ32:CB32" si="14">BQ29-BQ30-BQ31</f>
        <v>3758458.35</v>
      </c>
      <c r="BR32" s="15">
        <f t="shared" si="14"/>
        <v>2627958.9000000004</v>
      </c>
      <c r="BS32" s="15">
        <f t="shared" si="14"/>
        <v>1623819.45</v>
      </c>
      <c r="BT32" s="15">
        <f t="shared" si="14"/>
        <v>11277442.9</v>
      </c>
      <c r="BU32" s="15">
        <f t="shared" si="14"/>
        <v>1474250.2000000002</v>
      </c>
      <c r="BV32" s="15">
        <f t="shared" si="14"/>
        <v>2093165.05</v>
      </c>
      <c r="BW32" s="15">
        <f t="shared" si="14"/>
        <v>152289.30000000002</v>
      </c>
      <c r="BX32" s="15">
        <f t="shared" si="14"/>
        <v>293651.15000000002</v>
      </c>
      <c r="BY32" s="15">
        <f t="shared" si="14"/>
        <v>5659591.2000000002</v>
      </c>
      <c r="BZ32" s="15">
        <f t="shared" si="14"/>
        <v>528815.75</v>
      </c>
      <c r="CA32" s="15">
        <f t="shared" si="14"/>
        <v>490491.05000000005</v>
      </c>
      <c r="CB32" s="15">
        <f t="shared" si="14"/>
        <v>1157505.3</v>
      </c>
      <c r="CC32" s="21"/>
      <c r="CD32" s="21"/>
    </row>
    <row r="33" spans="1:82" x14ac:dyDescent="0.2">
      <c r="B33" s="30"/>
      <c r="C33" s="15"/>
    </row>
    <row r="34" spans="1:82" x14ac:dyDescent="0.2">
      <c r="A34" s="35" t="s">
        <v>167</v>
      </c>
      <c r="B34" s="26" t="s">
        <v>87</v>
      </c>
      <c r="C34" s="1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</row>
    <row r="35" spans="1:82" x14ac:dyDescent="0.2">
      <c r="B35" s="30" t="s">
        <v>94</v>
      </c>
      <c r="C35" s="39">
        <f>C39/C41</f>
        <v>0.69965526329596772</v>
      </c>
      <c r="D35" s="9">
        <v>0.8</v>
      </c>
      <c r="E35" s="9">
        <v>0.8</v>
      </c>
      <c r="F35" s="9">
        <v>0.8</v>
      </c>
      <c r="G35" s="9">
        <v>0.8</v>
      </c>
      <c r="H35" s="9">
        <v>0.2</v>
      </c>
      <c r="I35" s="9">
        <v>0.4</v>
      </c>
      <c r="J35" s="9">
        <v>0.6</v>
      </c>
      <c r="K35" s="9">
        <v>0.3</v>
      </c>
      <c r="L35" s="9">
        <v>0.2</v>
      </c>
      <c r="M35" s="9">
        <v>0.8</v>
      </c>
      <c r="N35" s="9">
        <v>0.8</v>
      </c>
      <c r="O35" s="9">
        <v>0.8</v>
      </c>
      <c r="P35" s="9">
        <v>0.8</v>
      </c>
      <c r="Q35" s="9">
        <v>0.8</v>
      </c>
      <c r="R35" s="9">
        <v>0.8</v>
      </c>
      <c r="S35" s="9">
        <v>0.8</v>
      </c>
      <c r="T35" s="9">
        <v>0.4</v>
      </c>
      <c r="U35" s="9">
        <v>0.8</v>
      </c>
      <c r="V35" s="9">
        <v>0.6</v>
      </c>
      <c r="W35" s="9">
        <v>0.6</v>
      </c>
      <c r="X35" s="9">
        <v>0.8</v>
      </c>
      <c r="Y35" s="9">
        <v>0.8</v>
      </c>
      <c r="Z35" s="9">
        <v>0.8</v>
      </c>
      <c r="AA35" s="9">
        <v>0.8</v>
      </c>
      <c r="AB35" s="9">
        <v>0.8</v>
      </c>
      <c r="AC35" s="9">
        <v>0.8</v>
      </c>
      <c r="AD35" s="9">
        <v>0.8</v>
      </c>
      <c r="AE35" s="9">
        <v>0.8</v>
      </c>
      <c r="AF35" s="9">
        <v>0.8</v>
      </c>
      <c r="AG35" s="9">
        <v>0.8</v>
      </c>
      <c r="AH35" s="9">
        <v>0.7</v>
      </c>
      <c r="AI35" s="9">
        <v>0.8</v>
      </c>
      <c r="AJ35" s="9">
        <v>0.8</v>
      </c>
      <c r="AK35" s="9">
        <v>0.8</v>
      </c>
      <c r="AL35" s="9">
        <v>0.8</v>
      </c>
      <c r="AM35" s="9">
        <v>0.8</v>
      </c>
      <c r="AN35" s="9">
        <v>0.8</v>
      </c>
      <c r="AO35" s="9">
        <v>0.8</v>
      </c>
      <c r="AP35" s="9">
        <v>0.8</v>
      </c>
      <c r="AQ35" s="9">
        <v>0.8</v>
      </c>
      <c r="AR35" s="9">
        <v>0.8</v>
      </c>
      <c r="AS35" s="9">
        <v>0.8</v>
      </c>
      <c r="AT35" s="9">
        <v>0.8</v>
      </c>
      <c r="AU35" s="9">
        <v>0.8</v>
      </c>
      <c r="AV35" s="9">
        <v>0.8</v>
      </c>
      <c r="AW35" s="9">
        <v>0.8</v>
      </c>
      <c r="AX35" s="9">
        <v>0.8</v>
      </c>
      <c r="AY35" s="9">
        <v>0.8</v>
      </c>
      <c r="AZ35" s="9">
        <v>0.8</v>
      </c>
      <c r="BA35" s="9">
        <v>0.3</v>
      </c>
      <c r="BB35" s="9">
        <v>0.8</v>
      </c>
      <c r="BC35" s="9">
        <v>0.8</v>
      </c>
      <c r="BD35" s="9">
        <v>0.8</v>
      </c>
      <c r="BE35" s="9">
        <v>0.8</v>
      </c>
      <c r="BF35" s="9">
        <v>0.8</v>
      </c>
      <c r="BG35" s="9">
        <v>0.8</v>
      </c>
      <c r="BH35" s="9">
        <v>0.8</v>
      </c>
      <c r="BI35" s="9">
        <v>0.8</v>
      </c>
      <c r="BJ35" s="9">
        <v>0.8</v>
      </c>
      <c r="BK35" s="9">
        <v>0.8</v>
      </c>
      <c r="BL35" s="9">
        <v>0.8</v>
      </c>
      <c r="BM35" s="9">
        <v>0.5</v>
      </c>
      <c r="BN35" s="9">
        <v>0.8</v>
      </c>
      <c r="BO35" s="9">
        <v>0.8</v>
      </c>
      <c r="BP35" s="9">
        <v>0.8</v>
      </c>
      <c r="BQ35" s="9">
        <v>0.6</v>
      </c>
      <c r="BR35" s="9">
        <v>0.8</v>
      </c>
      <c r="BS35" s="9">
        <v>0.8</v>
      </c>
      <c r="BT35" s="9">
        <v>0.6</v>
      </c>
      <c r="BU35" s="9">
        <v>0.4</v>
      </c>
      <c r="BV35" s="9">
        <v>0.3</v>
      </c>
      <c r="BW35" s="9">
        <v>0.8</v>
      </c>
      <c r="BX35" s="9">
        <v>0.4</v>
      </c>
      <c r="BY35" s="9">
        <v>0.6</v>
      </c>
      <c r="BZ35" s="9">
        <v>0.6</v>
      </c>
      <c r="CA35" s="9">
        <v>0.8</v>
      </c>
      <c r="CB35" s="9">
        <v>0.8</v>
      </c>
      <c r="CD35" s="3" t="s">
        <v>117</v>
      </c>
    </row>
    <row r="36" spans="1:82" x14ac:dyDescent="0.2">
      <c r="B36" s="40"/>
      <c r="C36" s="15"/>
    </row>
    <row r="37" spans="1:82" x14ac:dyDescent="0.2">
      <c r="B37" s="30" t="s">
        <v>84</v>
      </c>
      <c r="C37" s="36">
        <f t="shared" si="10"/>
        <v>90580319.079999998</v>
      </c>
      <c r="D37" s="9">
        <v>16061445.800000001</v>
      </c>
      <c r="E37" s="9">
        <v>1629920.7</v>
      </c>
      <c r="F37" s="9">
        <v>257057.1</v>
      </c>
      <c r="G37" s="9">
        <v>206309.3</v>
      </c>
      <c r="H37" s="9">
        <v>232632.1</v>
      </c>
      <c r="I37" s="9">
        <v>912751</v>
      </c>
      <c r="J37" s="9">
        <v>581281.69999999995</v>
      </c>
      <c r="K37" s="9">
        <v>63477.05</v>
      </c>
      <c r="L37" s="9">
        <v>93115.05</v>
      </c>
      <c r="M37" s="9">
        <v>201721.2</v>
      </c>
      <c r="N37" s="9">
        <v>400660.25</v>
      </c>
      <c r="O37" s="9">
        <v>1450032.9</v>
      </c>
      <c r="P37" s="9">
        <v>1652764.82</v>
      </c>
      <c r="Q37" s="9">
        <v>1548039.12</v>
      </c>
      <c r="R37" s="9">
        <v>625789</v>
      </c>
      <c r="S37" s="9">
        <v>1168414</v>
      </c>
      <c r="T37" s="9">
        <v>817344</v>
      </c>
      <c r="U37" s="9">
        <v>849022.2</v>
      </c>
      <c r="V37" s="9">
        <v>868109.55</v>
      </c>
      <c r="W37" s="9">
        <v>1047299.7</v>
      </c>
      <c r="X37" s="9">
        <v>2291713.94</v>
      </c>
      <c r="Y37" s="9">
        <v>790280</v>
      </c>
      <c r="Z37" s="9">
        <v>392685.15</v>
      </c>
      <c r="AA37" s="9">
        <v>2290701.5499999998</v>
      </c>
      <c r="AB37" s="9">
        <v>272413.09999999998</v>
      </c>
      <c r="AC37" s="9">
        <v>1767844.9</v>
      </c>
      <c r="AD37" s="9">
        <v>496418.95</v>
      </c>
      <c r="AE37" s="9">
        <v>1294340.67</v>
      </c>
      <c r="AF37" s="9">
        <v>622479</v>
      </c>
      <c r="AG37" s="9">
        <v>1249613.1000000001</v>
      </c>
      <c r="AH37" s="9">
        <v>2249209.35</v>
      </c>
      <c r="AI37" s="9">
        <v>967294.15</v>
      </c>
      <c r="AJ37" s="9">
        <v>945330.2</v>
      </c>
      <c r="AK37" s="9">
        <v>1171517.8500000001</v>
      </c>
      <c r="AL37" s="9">
        <v>989341.85</v>
      </c>
      <c r="AM37" s="9">
        <v>1566246.25</v>
      </c>
      <c r="AN37" s="9">
        <v>411226.85</v>
      </c>
      <c r="AO37" s="9">
        <v>1750087.3</v>
      </c>
      <c r="AP37" s="9">
        <v>1109825.3</v>
      </c>
      <c r="AQ37" s="9">
        <v>1131914.3999999999</v>
      </c>
      <c r="AR37" s="9">
        <v>878329.85</v>
      </c>
      <c r="AS37" s="9">
        <v>508857.8</v>
      </c>
      <c r="AT37" s="9">
        <v>400752.75</v>
      </c>
      <c r="AU37" s="9">
        <v>680206.05</v>
      </c>
      <c r="AV37" s="9">
        <v>542076.69999999995</v>
      </c>
      <c r="AW37" s="9">
        <v>802835.95</v>
      </c>
      <c r="AX37" s="9">
        <v>1180770.3999999999</v>
      </c>
      <c r="AY37" s="9">
        <v>1279153.6499999999</v>
      </c>
      <c r="AZ37" s="9">
        <v>808042.5</v>
      </c>
      <c r="BA37" s="9">
        <v>2764122.1</v>
      </c>
      <c r="BB37" s="9">
        <v>1984209.09</v>
      </c>
      <c r="BC37" s="9">
        <v>788589.65</v>
      </c>
      <c r="BD37" s="9">
        <v>585208.4</v>
      </c>
      <c r="BE37" s="9">
        <v>853085.85</v>
      </c>
      <c r="BF37" s="9">
        <v>1404570.5</v>
      </c>
      <c r="BG37" s="9">
        <v>292664.56</v>
      </c>
      <c r="BH37" s="9">
        <v>185173.55</v>
      </c>
      <c r="BI37" s="9">
        <v>569411.94999999995</v>
      </c>
      <c r="BJ37" s="9">
        <v>151351.65</v>
      </c>
      <c r="BK37" s="9">
        <v>793263.7</v>
      </c>
      <c r="BL37" s="9">
        <v>248287.69</v>
      </c>
      <c r="BM37" s="9">
        <v>255319.62</v>
      </c>
      <c r="BN37" s="9">
        <v>1705018.3</v>
      </c>
      <c r="BO37" s="9">
        <v>860541.95</v>
      </c>
      <c r="BP37" s="9">
        <v>1077744.7</v>
      </c>
      <c r="BQ37" s="9">
        <v>1705723.11</v>
      </c>
      <c r="BR37" s="9">
        <v>1590165.35</v>
      </c>
      <c r="BS37" s="9">
        <v>626437.80000000005</v>
      </c>
      <c r="BT37" s="9">
        <v>3619805.15</v>
      </c>
      <c r="BU37" s="9">
        <v>563142.85</v>
      </c>
      <c r="BV37" s="9">
        <v>362668.45</v>
      </c>
      <c r="BW37" s="9">
        <v>281774.84999999998</v>
      </c>
      <c r="BX37" s="9">
        <v>285988.40000000002</v>
      </c>
      <c r="BY37" s="9">
        <v>2820214.25</v>
      </c>
      <c r="BZ37" s="9">
        <v>283733.34999999998</v>
      </c>
      <c r="CA37" s="9">
        <v>653819.21</v>
      </c>
      <c r="CB37" s="9">
        <v>1759587</v>
      </c>
      <c r="CD37" s="3" t="s">
        <v>116</v>
      </c>
    </row>
    <row r="38" spans="1:82" x14ac:dyDescent="0.2">
      <c r="B38" s="30" t="s">
        <v>85</v>
      </c>
      <c r="C38" s="36">
        <f t="shared" si="10"/>
        <v>7531.46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91.85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3523.31</v>
      </c>
      <c r="R38" s="9">
        <v>1000</v>
      </c>
      <c r="S38" s="9">
        <v>0</v>
      </c>
      <c r="T38" s="9">
        <v>0</v>
      </c>
      <c r="U38" s="9">
        <v>0</v>
      </c>
      <c r="V38" s="9">
        <v>4.8</v>
      </c>
      <c r="W38" s="9">
        <v>161</v>
      </c>
      <c r="X38" s="9">
        <v>0</v>
      </c>
      <c r="Y38" s="9">
        <v>0</v>
      </c>
      <c r="Z38" s="9">
        <v>0</v>
      </c>
      <c r="AA38" s="9">
        <v>9.6999999999999993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19.8</v>
      </c>
      <c r="AI38" s="9">
        <v>0</v>
      </c>
      <c r="AJ38" s="9">
        <v>2229</v>
      </c>
      <c r="AK38" s="9">
        <v>0</v>
      </c>
      <c r="AL38" s="9">
        <v>0</v>
      </c>
      <c r="AM38" s="9">
        <v>0</v>
      </c>
      <c r="AN38" s="9">
        <v>175.45</v>
      </c>
      <c r="AO38" s="9">
        <v>0</v>
      </c>
      <c r="AP38" s="9">
        <v>10.07</v>
      </c>
      <c r="AQ38" s="9">
        <v>0.47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-1442.1</v>
      </c>
      <c r="AX38" s="9">
        <v>0.95</v>
      </c>
      <c r="AY38" s="9">
        <v>3</v>
      </c>
      <c r="AZ38" s="9">
        <v>0</v>
      </c>
      <c r="BA38" s="9">
        <v>0</v>
      </c>
      <c r="BB38" s="9">
        <v>489.6</v>
      </c>
      <c r="BC38" s="9">
        <v>0</v>
      </c>
      <c r="BD38" s="9">
        <v>3.5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35.11</v>
      </c>
      <c r="BN38" s="9">
        <v>397.15</v>
      </c>
      <c r="BO38" s="9">
        <v>0</v>
      </c>
      <c r="BP38" s="9">
        <v>0</v>
      </c>
      <c r="BQ38" s="9">
        <v>0</v>
      </c>
      <c r="BR38" s="9">
        <v>818.8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D38" s="3" t="s">
        <v>116</v>
      </c>
    </row>
    <row r="39" spans="1:82" x14ac:dyDescent="0.2">
      <c r="B39" s="30" t="s">
        <v>86</v>
      </c>
      <c r="C39" s="36">
        <f t="shared" si="10"/>
        <v>90572787.620000005</v>
      </c>
      <c r="D39" s="4">
        <f>D37-D38</f>
        <v>16061445.800000001</v>
      </c>
      <c r="E39" s="4">
        <f t="shared" ref="E39:BP39" si="15">E37-E38</f>
        <v>1629920.7</v>
      </c>
      <c r="F39" s="4">
        <f t="shared" si="15"/>
        <v>257057.1</v>
      </c>
      <c r="G39" s="4">
        <f t="shared" si="15"/>
        <v>206309.3</v>
      </c>
      <c r="H39" s="4">
        <f t="shared" si="15"/>
        <v>232632.1</v>
      </c>
      <c r="I39" s="4">
        <f t="shared" si="15"/>
        <v>912659.15</v>
      </c>
      <c r="J39" s="4">
        <f t="shared" si="15"/>
        <v>581281.69999999995</v>
      </c>
      <c r="K39" s="4">
        <f t="shared" si="15"/>
        <v>63477.05</v>
      </c>
      <c r="L39" s="4">
        <f t="shared" si="15"/>
        <v>93115.05</v>
      </c>
      <c r="M39" s="4">
        <f t="shared" si="15"/>
        <v>201721.2</v>
      </c>
      <c r="N39" s="4">
        <f t="shared" si="15"/>
        <v>400660.25</v>
      </c>
      <c r="O39" s="4">
        <f t="shared" si="15"/>
        <v>1450032.9</v>
      </c>
      <c r="P39" s="4">
        <f t="shared" si="15"/>
        <v>1652764.82</v>
      </c>
      <c r="Q39" s="4">
        <f t="shared" si="15"/>
        <v>1544515.81</v>
      </c>
      <c r="R39" s="4">
        <f t="shared" si="15"/>
        <v>624789</v>
      </c>
      <c r="S39" s="4">
        <f t="shared" si="15"/>
        <v>1168414</v>
      </c>
      <c r="T39" s="4">
        <f t="shared" si="15"/>
        <v>817344</v>
      </c>
      <c r="U39" s="4">
        <f t="shared" si="15"/>
        <v>849022.2</v>
      </c>
      <c r="V39" s="4">
        <f t="shared" si="15"/>
        <v>868104.75</v>
      </c>
      <c r="W39" s="4">
        <f t="shared" si="15"/>
        <v>1047138.7</v>
      </c>
      <c r="X39" s="4">
        <f t="shared" si="15"/>
        <v>2291713.94</v>
      </c>
      <c r="Y39" s="4">
        <f t="shared" si="15"/>
        <v>790280</v>
      </c>
      <c r="Z39" s="4">
        <f t="shared" si="15"/>
        <v>392685.15</v>
      </c>
      <c r="AA39" s="4">
        <f t="shared" si="15"/>
        <v>2290691.8499999996</v>
      </c>
      <c r="AB39" s="4">
        <f t="shared" si="15"/>
        <v>272413.09999999998</v>
      </c>
      <c r="AC39" s="4">
        <f t="shared" si="15"/>
        <v>1767844.9</v>
      </c>
      <c r="AD39" s="4">
        <f t="shared" si="15"/>
        <v>496418.95</v>
      </c>
      <c r="AE39" s="4">
        <f t="shared" si="15"/>
        <v>1294340.67</v>
      </c>
      <c r="AF39" s="4">
        <f t="shared" si="15"/>
        <v>622479</v>
      </c>
      <c r="AG39" s="4">
        <f t="shared" si="15"/>
        <v>1249613.1000000001</v>
      </c>
      <c r="AH39" s="4">
        <f t="shared" si="15"/>
        <v>2249189.5500000003</v>
      </c>
      <c r="AI39" s="4">
        <f t="shared" si="15"/>
        <v>967294.15</v>
      </c>
      <c r="AJ39" s="4">
        <f t="shared" si="15"/>
        <v>943101.2</v>
      </c>
      <c r="AK39" s="4">
        <f t="shared" si="15"/>
        <v>1171517.8500000001</v>
      </c>
      <c r="AL39" s="4">
        <f t="shared" si="15"/>
        <v>989341.85</v>
      </c>
      <c r="AM39" s="4">
        <f t="shared" si="15"/>
        <v>1566246.25</v>
      </c>
      <c r="AN39" s="4">
        <f t="shared" si="15"/>
        <v>411051.39999999997</v>
      </c>
      <c r="AO39" s="4">
        <f t="shared" si="15"/>
        <v>1750087.3</v>
      </c>
      <c r="AP39" s="4">
        <f t="shared" si="15"/>
        <v>1109815.23</v>
      </c>
      <c r="AQ39" s="4">
        <f t="shared" si="15"/>
        <v>1131913.93</v>
      </c>
      <c r="AR39" s="4">
        <f t="shared" si="15"/>
        <v>878329.85</v>
      </c>
      <c r="AS39" s="4">
        <f t="shared" si="15"/>
        <v>508857.8</v>
      </c>
      <c r="AT39" s="4">
        <f t="shared" si="15"/>
        <v>400752.75</v>
      </c>
      <c r="AU39" s="4">
        <f t="shared" si="15"/>
        <v>680206.05</v>
      </c>
      <c r="AV39" s="4">
        <f t="shared" si="15"/>
        <v>542076.69999999995</v>
      </c>
      <c r="AW39" s="4">
        <f t="shared" si="15"/>
        <v>804278.04999999993</v>
      </c>
      <c r="AX39" s="4">
        <f t="shared" si="15"/>
        <v>1180769.45</v>
      </c>
      <c r="AY39" s="4">
        <f t="shared" si="15"/>
        <v>1279150.6499999999</v>
      </c>
      <c r="AZ39" s="4">
        <f t="shared" si="15"/>
        <v>808042.5</v>
      </c>
      <c r="BA39" s="4">
        <f t="shared" si="15"/>
        <v>2764122.1</v>
      </c>
      <c r="BB39" s="4">
        <f t="shared" si="15"/>
        <v>1983719.49</v>
      </c>
      <c r="BC39" s="4">
        <f t="shared" si="15"/>
        <v>788589.65</v>
      </c>
      <c r="BD39" s="4">
        <f t="shared" si="15"/>
        <v>585204.9</v>
      </c>
      <c r="BE39" s="4">
        <f t="shared" si="15"/>
        <v>853085.85</v>
      </c>
      <c r="BF39" s="4">
        <f t="shared" si="15"/>
        <v>1404570.5</v>
      </c>
      <c r="BG39" s="4">
        <f t="shared" si="15"/>
        <v>292664.56</v>
      </c>
      <c r="BH39" s="4">
        <f t="shared" si="15"/>
        <v>185173.55</v>
      </c>
      <c r="BI39" s="4">
        <f t="shared" si="15"/>
        <v>569411.94999999995</v>
      </c>
      <c r="BJ39" s="4">
        <f t="shared" si="15"/>
        <v>151351.65</v>
      </c>
      <c r="BK39" s="4">
        <f t="shared" si="15"/>
        <v>793263.7</v>
      </c>
      <c r="BL39" s="4">
        <f t="shared" si="15"/>
        <v>248287.69</v>
      </c>
      <c r="BM39" s="4">
        <f t="shared" si="15"/>
        <v>255284.51</v>
      </c>
      <c r="BN39" s="4">
        <f t="shared" si="15"/>
        <v>1704621.1500000001</v>
      </c>
      <c r="BO39" s="4">
        <f t="shared" si="15"/>
        <v>860541.95</v>
      </c>
      <c r="BP39" s="4">
        <f t="shared" si="15"/>
        <v>1077744.7</v>
      </c>
      <c r="BQ39" s="4">
        <f t="shared" ref="BQ39:CB39" si="16">BQ37-BQ38</f>
        <v>1705723.11</v>
      </c>
      <c r="BR39" s="4">
        <f t="shared" si="16"/>
        <v>1589346.55</v>
      </c>
      <c r="BS39" s="4">
        <f t="shared" si="16"/>
        <v>626437.80000000005</v>
      </c>
      <c r="BT39" s="4">
        <f t="shared" si="16"/>
        <v>3619805.15</v>
      </c>
      <c r="BU39" s="4">
        <f t="shared" si="16"/>
        <v>563142.85</v>
      </c>
      <c r="BV39" s="4">
        <f t="shared" si="16"/>
        <v>362668.45</v>
      </c>
      <c r="BW39" s="4">
        <f t="shared" si="16"/>
        <v>281774.84999999998</v>
      </c>
      <c r="BX39" s="4">
        <f t="shared" si="16"/>
        <v>285988.40000000002</v>
      </c>
      <c r="BY39" s="4">
        <f t="shared" si="16"/>
        <v>2820214.25</v>
      </c>
      <c r="BZ39" s="4">
        <f t="shared" si="16"/>
        <v>283733.34999999998</v>
      </c>
      <c r="CA39" s="4">
        <f t="shared" si="16"/>
        <v>653819.21</v>
      </c>
      <c r="CB39" s="4">
        <f t="shared" si="16"/>
        <v>1759587</v>
      </c>
    </row>
    <row r="40" spans="1:82" x14ac:dyDescent="0.2">
      <c r="B40" s="30"/>
      <c r="C40" s="36"/>
    </row>
    <row r="41" spans="1:82" x14ac:dyDescent="0.2">
      <c r="B41" s="30" t="s">
        <v>95</v>
      </c>
      <c r="C41" s="36">
        <f t="shared" si="10"/>
        <v>129453449.96523805</v>
      </c>
      <c r="D41" s="4">
        <f>D39/D35</f>
        <v>20076807.25</v>
      </c>
      <c r="E41" s="4">
        <f t="shared" ref="E41:BP41" si="17">E39/E35</f>
        <v>2037400.8749999998</v>
      </c>
      <c r="F41" s="4">
        <f t="shared" si="17"/>
        <v>321321.375</v>
      </c>
      <c r="G41" s="4">
        <f t="shared" si="17"/>
        <v>257886.62499999997</v>
      </c>
      <c r="H41" s="4">
        <f t="shared" si="17"/>
        <v>1163160.5</v>
      </c>
      <c r="I41" s="4">
        <f t="shared" si="17"/>
        <v>2281647.875</v>
      </c>
      <c r="J41" s="4">
        <f t="shared" si="17"/>
        <v>968802.83333333326</v>
      </c>
      <c r="K41" s="4">
        <f t="shared" si="17"/>
        <v>211590.16666666669</v>
      </c>
      <c r="L41" s="4">
        <f t="shared" si="17"/>
        <v>465575.25</v>
      </c>
      <c r="M41" s="4">
        <f t="shared" si="17"/>
        <v>252151.5</v>
      </c>
      <c r="N41" s="4">
        <f t="shared" si="17"/>
        <v>500825.3125</v>
      </c>
      <c r="O41" s="4">
        <f t="shared" si="17"/>
        <v>1812541.1249999998</v>
      </c>
      <c r="P41" s="4">
        <f t="shared" si="17"/>
        <v>2065956.0249999999</v>
      </c>
      <c r="Q41" s="4">
        <f t="shared" si="17"/>
        <v>1930644.7625</v>
      </c>
      <c r="R41" s="4">
        <f t="shared" si="17"/>
        <v>780986.25</v>
      </c>
      <c r="S41" s="4">
        <f t="shared" si="17"/>
        <v>1460517.5</v>
      </c>
      <c r="T41" s="4">
        <f t="shared" si="17"/>
        <v>2043360</v>
      </c>
      <c r="U41" s="4">
        <f t="shared" si="17"/>
        <v>1061277.7499999998</v>
      </c>
      <c r="V41" s="4">
        <f t="shared" si="17"/>
        <v>1446841.25</v>
      </c>
      <c r="W41" s="4">
        <f t="shared" si="17"/>
        <v>1745231.1666666667</v>
      </c>
      <c r="X41" s="4">
        <f t="shared" si="17"/>
        <v>2864642.4249999998</v>
      </c>
      <c r="Y41" s="4">
        <f t="shared" si="17"/>
        <v>987850</v>
      </c>
      <c r="Z41" s="4">
        <f t="shared" si="17"/>
        <v>490856.4375</v>
      </c>
      <c r="AA41" s="4">
        <f t="shared" si="17"/>
        <v>2863364.8124999995</v>
      </c>
      <c r="AB41" s="4">
        <f t="shared" si="17"/>
        <v>340516.37499999994</v>
      </c>
      <c r="AC41" s="4">
        <f t="shared" si="17"/>
        <v>2209806.1249999995</v>
      </c>
      <c r="AD41" s="4">
        <f t="shared" si="17"/>
        <v>620523.6875</v>
      </c>
      <c r="AE41" s="4">
        <f t="shared" si="17"/>
        <v>1617925.8374999999</v>
      </c>
      <c r="AF41" s="4">
        <f t="shared" si="17"/>
        <v>778098.75</v>
      </c>
      <c r="AG41" s="4">
        <f t="shared" si="17"/>
        <v>1562016.375</v>
      </c>
      <c r="AH41" s="4">
        <f t="shared" si="17"/>
        <v>3213127.9285714291</v>
      </c>
      <c r="AI41" s="4">
        <f t="shared" si="17"/>
        <v>1209117.6875</v>
      </c>
      <c r="AJ41" s="4">
        <f t="shared" si="17"/>
        <v>1178876.4999999998</v>
      </c>
      <c r="AK41" s="4">
        <f t="shared" si="17"/>
        <v>1464397.3125</v>
      </c>
      <c r="AL41" s="4">
        <f t="shared" si="17"/>
        <v>1236677.3125</v>
      </c>
      <c r="AM41" s="4">
        <f t="shared" si="17"/>
        <v>1957807.8125</v>
      </c>
      <c r="AN41" s="4">
        <f t="shared" si="17"/>
        <v>513814.24999999994</v>
      </c>
      <c r="AO41" s="4">
        <f t="shared" si="17"/>
        <v>2187609.125</v>
      </c>
      <c r="AP41" s="4">
        <f t="shared" si="17"/>
        <v>1387269.0374999999</v>
      </c>
      <c r="AQ41" s="4">
        <f t="shared" si="17"/>
        <v>1414892.4124999999</v>
      </c>
      <c r="AR41" s="4">
        <f t="shared" si="17"/>
        <v>1097912.3125</v>
      </c>
      <c r="AS41" s="4">
        <f t="shared" si="17"/>
        <v>636072.25</v>
      </c>
      <c r="AT41" s="4">
        <f t="shared" si="17"/>
        <v>500940.9375</v>
      </c>
      <c r="AU41" s="4">
        <f t="shared" si="17"/>
        <v>850257.5625</v>
      </c>
      <c r="AV41" s="4">
        <f t="shared" si="17"/>
        <v>677595.87499999988</v>
      </c>
      <c r="AW41" s="4">
        <f t="shared" si="17"/>
        <v>1005347.5624999999</v>
      </c>
      <c r="AX41" s="4">
        <f t="shared" si="17"/>
        <v>1475961.8124999998</v>
      </c>
      <c r="AY41" s="4">
        <f t="shared" si="17"/>
        <v>1598938.3124999998</v>
      </c>
      <c r="AZ41" s="4">
        <f t="shared" si="17"/>
        <v>1010053.125</v>
      </c>
      <c r="BA41" s="4">
        <f t="shared" si="17"/>
        <v>9213740.333333334</v>
      </c>
      <c r="BB41" s="4">
        <f t="shared" si="17"/>
        <v>2479649.3624999998</v>
      </c>
      <c r="BC41" s="4">
        <f t="shared" si="17"/>
        <v>985737.0625</v>
      </c>
      <c r="BD41" s="4">
        <f t="shared" si="17"/>
        <v>731506.125</v>
      </c>
      <c r="BE41" s="4">
        <f t="shared" si="17"/>
        <v>1066357.3125</v>
      </c>
      <c r="BF41" s="4">
        <f t="shared" si="17"/>
        <v>1755713.125</v>
      </c>
      <c r="BG41" s="4">
        <f t="shared" si="17"/>
        <v>365830.69999999995</v>
      </c>
      <c r="BH41" s="4">
        <f t="shared" si="17"/>
        <v>231466.93749999997</v>
      </c>
      <c r="BI41" s="4">
        <f t="shared" si="17"/>
        <v>711764.93749999988</v>
      </c>
      <c r="BJ41" s="4">
        <f t="shared" si="17"/>
        <v>189189.56249999997</v>
      </c>
      <c r="BK41" s="4">
        <f t="shared" si="17"/>
        <v>991579.62499999988</v>
      </c>
      <c r="BL41" s="4">
        <f t="shared" si="17"/>
        <v>310359.61249999999</v>
      </c>
      <c r="BM41" s="4">
        <f t="shared" si="17"/>
        <v>510569.02</v>
      </c>
      <c r="BN41" s="4">
        <f t="shared" si="17"/>
        <v>2130776.4375</v>
      </c>
      <c r="BO41" s="4">
        <f t="shared" si="17"/>
        <v>1075677.4374999998</v>
      </c>
      <c r="BP41" s="4">
        <f t="shared" si="17"/>
        <v>1347180.8749999998</v>
      </c>
      <c r="BQ41" s="4">
        <f t="shared" ref="BQ41:CB41" si="18">BQ39/BQ35</f>
        <v>2842871.85</v>
      </c>
      <c r="BR41" s="4">
        <f t="shared" si="18"/>
        <v>1986683.1875</v>
      </c>
      <c r="BS41" s="4">
        <f t="shared" si="18"/>
        <v>783047.25</v>
      </c>
      <c r="BT41" s="4">
        <f t="shared" si="18"/>
        <v>6033008.583333333</v>
      </c>
      <c r="BU41" s="4">
        <f t="shared" si="18"/>
        <v>1407857.1249999998</v>
      </c>
      <c r="BV41" s="4">
        <f t="shared" si="18"/>
        <v>1208894.8333333335</v>
      </c>
      <c r="BW41" s="4">
        <f t="shared" si="18"/>
        <v>352218.56249999994</v>
      </c>
      <c r="BX41" s="4">
        <f t="shared" si="18"/>
        <v>714971</v>
      </c>
      <c r="BY41" s="4">
        <f t="shared" si="18"/>
        <v>4700357.083333334</v>
      </c>
      <c r="BZ41" s="4">
        <f t="shared" si="18"/>
        <v>472888.91666666663</v>
      </c>
      <c r="CA41" s="4">
        <f t="shared" si="18"/>
        <v>817274.01249999995</v>
      </c>
      <c r="CB41" s="4">
        <f t="shared" si="18"/>
        <v>2199483.75</v>
      </c>
    </row>
    <row r="42" spans="1:82" x14ac:dyDescent="0.2">
      <c r="B42" s="30"/>
      <c r="C42" s="15"/>
    </row>
    <row r="43" spans="1:82" x14ac:dyDescent="0.2">
      <c r="B43" s="32" t="s">
        <v>92</v>
      </c>
      <c r="C43" s="15">
        <f>C41*$C35</f>
        <v>90572787.620000005</v>
      </c>
      <c r="D43" s="15">
        <f>D41*$C35</f>
        <v>14046843.862641145</v>
      </c>
      <c r="E43" s="15">
        <f t="shared" ref="E43:BP43" si="19">E41*$C35</f>
        <v>1425478.2456375598</v>
      </c>
      <c r="F43" s="15">
        <f t="shared" si="19"/>
        <v>224814.19122824739</v>
      </c>
      <c r="G43" s="15">
        <f t="shared" si="19"/>
        <v>180431.73451488346</v>
      </c>
      <c r="H43" s="15">
        <f t="shared" si="19"/>
        <v>813811.36588296946</v>
      </c>
      <c r="I43" s="15">
        <f t="shared" si="19"/>
        <v>1596366.9447318104</v>
      </c>
      <c r="J43" s="15">
        <f t="shared" si="19"/>
        <v>677828.00143771281</v>
      </c>
      <c r="K43" s="15">
        <f t="shared" si="19"/>
        <v>148040.17377000436</v>
      </c>
      <c r="L43" s="15">
        <f t="shared" si="19"/>
        <v>325742.17412283598</v>
      </c>
      <c r="M43" s="15">
        <f t="shared" si="19"/>
        <v>176419.12412297321</v>
      </c>
      <c r="N43" s="15">
        <f t="shared" si="19"/>
        <v>350405.06588247279</v>
      </c>
      <c r="O43" s="15">
        <f t="shared" si="19"/>
        <v>1268153.9380466444</v>
      </c>
      <c r="P43" s="15">
        <f t="shared" si="19"/>
        <v>1445457.0066292658</v>
      </c>
      <c r="Q43" s="15">
        <f t="shared" si="19"/>
        <v>1350785.7696379186</v>
      </c>
      <c r="R43" s="15">
        <f t="shared" si="19"/>
        <v>546421.14037428051</v>
      </c>
      <c r="S43" s="15">
        <f t="shared" si="19"/>
        <v>1021858.7560108686</v>
      </c>
      <c r="T43" s="15">
        <f t="shared" si="19"/>
        <v>1429647.5788084485</v>
      </c>
      <c r="U43" s="15">
        <f t="shared" si="19"/>
        <v>742528.56360640202</v>
      </c>
      <c r="V43" s="15">
        <f t="shared" si="19"/>
        <v>1012290.0957162171</v>
      </c>
      <c r="W43" s="15">
        <f t="shared" si="19"/>
        <v>1221060.1714264955</v>
      </c>
      <c r="X43" s="15">
        <f t="shared" si="19"/>
        <v>2004262.1501121745</v>
      </c>
      <c r="Y43" s="15">
        <f t="shared" si="19"/>
        <v>691154.4518469217</v>
      </c>
      <c r="Z43" s="15">
        <f t="shared" si="19"/>
        <v>343430.29001958325</v>
      </c>
      <c r="AA43" s="15">
        <f t="shared" si="19"/>
        <v>2003368.2618020964</v>
      </c>
      <c r="AB43" s="15">
        <f t="shared" si="19"/>
        <v>238244.07400721344</v>
      </c>
      <c r="AC43" s="15">
        <f t="shared" si="19"/>
        <v>1546102.4862199167</v>
      </c>
      <c r="AD43" s="15">
        <f t="shared" si="19"/>
        <v>434152.66395919729</v>
      </c>
      <c r="AE43" s="15">
        <f t="shared" si="19"/>
        <v>1131990.3278294115</v>
      </c>
      <c r="AF43" s="15">
        <f t="shared" si="19"/>
        <v>544400.88580151333</v>
      </c>
      <c r="AG43" s="15">
        <f t="shared" si="19"/>
        <v>1092872.9781232381</v>
      </c>
      <c r="AH43" s="15">
        <f t="shared" si="19"/>
        <v>2248081.8668682706</v>
      </c>
      <c r="AI43" s="15">
        <f t="shared" si="19"/>
        <v>845965.55400362413</v>
      </c>
      <c r="AJ43" s="15">
        <f t="shared" si="19"/>
        <v>824807.14800092869</v>
      </c>
      <c r="AK43" s="15">
        <f t="shared" si="19"/>
        <v>1024573.287247095</v>
      </c>
      <c r="AL43" s="15">
        <f t="shared" si="19"/>
        <v>865247.7906893373</v>
      </c>
      <c r="AM43" s="15">
        <f t="shared" si="19"/>
        <v>1369790.5405375902</v>
      </c>
      <c r="AN43" s="15">
        <f t="shared" si="19"/>
        <v>359492.84436897014</v>
      </c>
      <c r="AO43" s="15">
        <f t="shared" si="19"/>
        <v>1530572.2383405366</v>
      </c>
      <c r="AP43" s="15">
        <f t="shared" si="19"/>
        <v>970610.08369440609</v>
      </c>
      <c r="AQ43" s="15">
        <f t="shared" si="19"/>
        <v>989936.92340315436</v>
      </c>
      <c r="AR43" s="15">
        <f t="shared" si="19"/>
        <v>768160.12807807233</v>
      </c>
      <c r="AS43" s="15">
        <f t="shared" si="19"/>
        <v>445031.29754900862</v>
      </c>
      <c r="AT43" s="15">
        <f t="shared" si="19"/>
        <v>350485.96352229139</v>
      </c>
      <c r="AU43" s="15">
        <f t="shared" si="19"/>
        <v>594887.17876032519</v>
      </c>
      <c r="AV43" s="15">
        <f t="shared" si="19"/>
        <v>474083.52033138653</v>
      </c>
      <c r="AW43" s="15">
        <f t="shared" si="19"/>
        <v>703396.7135448968</v>
      </c>
      <c r="AX43" s="15">
        <f t="shared" si="19"/>
        <v>1032664.4505394811</v>
      </c>
      <c r="AY43" s="15">
        <f t="shared" si="19"/>
        <v>1118705.6060261976</v>
      </c>
      <c r="AZ43" s="15">
        <f t="shared" si="19"/>
        <v>706688.98511479003</v>
      </c>
      <c r="BA43" s="15">
        <f t="shared" si="19"/>
        <v>6446441.9188590115</v>
      </c>
      <c r="BB43" s="15">
        <f t="shared" si="19"/>
        <v>1734899.7276016159</v>
      </c>
      <c r="BC43" s="15">
        <f t="shared" si="19"/>
        <v>689676.1240040313</v>
      </c>
      <c r="BD43" s="15">
        <f t="shared" si="19"/>
        <v>511802.11048948806</v>
      </c>
      <c r="BE43" s="15">
        <f t="shared" si="19"/>
        <v>746082.50624476804</v>
      </c>
      <c r="BF43" s="15">
        <f t="shared" si="19"/>
        <v>1228393.9287440614</v>
      </c>
      <c r="BG43" s="15">
        <f t="shared" si="19"/>
        <v>255955.37473024815</v>
      </c>
      <c r="BH43" s="15">
        <f t="shared" si="19"/>
        <v>161947.06110087378</v>
      </c>
      <c r="BI43" s="15">
        <f t="shared" si="19"/>
        <v>497990.08475140046</v>
      </c>
      <c r="BJ43" s="15">
        <f t="shared" si="19"/>
        <v>132367.47316378643</v>
      </c>
      <c r="BK43" s="15">
        <f t="shared" si="19"/>
        <v>693763.90360829188</v>
      </c>
      <c r="BL43" s="15">
        <f t="shared" si="19"/>
        <v>217144.736400122</v>
      </c>
      <c r="BM43" s="15">
        <f t="shared" si="19"/>
        <v>357222.3021188642</v>
      </c>
      <c r="BN43" s="15">
        <f t="shared" si="19"/>
        <v>1490808.9494039067</v>
      </c>
      <c r="BO43" s="15">
        <f t="shared" si="19"/>
        <v>752603.38075559423</v>
      </c>
      <c r="BP43" s="15">
        <f t="shared" si="19"/>
        <v>942562.18980541697</v>
      </c>
      <c r="BQ43" s="15">
        <f t="shared" ref="BQ43:CB43" si="20">BQ41*$C35</f>
        <v>1989030.252728445</v>
      </c>
      <c r="BR43" s="15">
        <f t="shared" si="20"/>
        <v>1389993.3486359848</v>
      </c>
      <c r="BS43" s="15">
        <f t="shared" si="20"/>
        <v>547863.12987193349</v>
      </c>
      <c r="BT43" s="15">
        <f t="shared" si="20"/>
        <v>4221026.2088389164</v>
      </c>
      <c r="BU43" s="15">
        <f t="shared" si="20"/>
        <v>985014.64747497893</v>
      </c>
      <c r="BV43" s="15">
        <f t="shared" si="20"/>
        <v>845809.6329129684</v>
      </c>
      <c r="BW43" s="15">
        <f t="shared" si="20"/>
        <v>246431.57108366472</v>
      </c>
      <c r="BX43" s="15">
        <f t="shared" si="20"/>
        <v>500233.22325398133</v>
      </c>
      <c r="BY43" s="15">
        <f t="shared" si="20"/>
        <v>3288629.5727246506</v>
      </c>
      <c r="BZ43" s="15">
        <f t="shared" si="20"/>
        <v>330859.21950016159</v>
      </c>
      <c r="CA43" s="15">
        <f t="shared" si="20"/>
        <v>571810.0644006395</v>
      </c>
      <c r="CB43" s="15">
        <f t="shared" si="20"/>
        <v>1538880.3822214524</v>
      </c>
    </row>
    <row r="44" spans="1:82" x14ac:dyDescent="0.2">
      <c r="B44" s="30"/>
      <c r="C44" s="15"/>
    </row>
    <row r="45" spans="1:82" x14ac:dyDescent="0.2">
      <c r="A45" s="35" t="s">
        <v>168</v>
      </c>
      <c r="B45" s="26" t="s">
        <v>88</v>
      </c>
      <c r="C45" s="1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</row>
    <row r="46" spans="1:82" x14ac:dyDescent="0.2">
      <c r="B46" s="30" t="s">
        <v>84</v>
      </c>
      <c r="C46" s="36">
        <f t="shared" si="10"/>
        <v>1496696.2699999998</v>
      </c>
      <c r="D46" s="9">
        <v>315496.09999999998</v>
      </c>
      <c r="E46" s="9">
        <v>29859.1</v>
      </c>
      <c r="F46" s="9">
        <v>3140.85</v>
      </c>
      <c r="G46" s="9">
        <v>2504.4</v>
      </c>
      <c r="H46" s="9">
        <v>10751.6</v>
      </c>
      <c r="I46" s="9">
        <v>16182.65</v>
      </c>
      <c r="J46" s="9">
        <v>13426.2</v>
      </c>
      <c r="K46" s="9">
        <v>2100.1999999999998</v>
      </c>
      <c r="L46" s="9">
        <v>0</v>
      </c>
      <c r="M46" s="9">
        <v>2700.35</v>
      </c>
      <c r="N46" s="9">
        <v>6236.15</v>
      </c>
      <c r="O46" s="9">
        <v>15149.4</v>
      </c>
      <c r="P46" s="9">
        <v>38761</v>
      </c>
      <c r="Q46" s="9">
        <v>20816.09</v>
      </c>
      <c r="R46" s="9">
        <v>11509</v>
      </c>
      <c r="S46" s="9">
        <v>12559</v>
      </c>
      <c r="T46" s="9">
        <v>28071.35</v>
      </c>
      <c r="U46" s="9">
        <v>0</v>
      </c>
      <c r="V46" s="9">
        <v>9221.7000000000007</v>
      </c>
      <c r="W46" s="9">
        <v>15918.45</v>
      </c>
      <c r="X46" s="9">
        <v>16265.94</v>
      </c>
      <c r="Y46" s="9">
        <v>7662</v>
      </c>
      <c r="Z46" s="9">
        <v>3811.55</v>
      </c>
      <c r="AA46" s="9">
        <v>39114.65</v>
      </c>
      <c r="AB46" s="9">
        <v>2127.8000000000002</v>
      </c>
      <c r="AC46" s="9">
        <v>24656.95</v>
      </c>
      <c r="AD46" s="9">
        <v>3990.2</v>
      </c>
      <c r="AE46" s="9">
        <v>21996.65</v>
      </c>
      <c r="AF46" s="9">
        <v>7379.5</v>
      </c>
      <c r="AG46" s="9">
        <v>22095.3</v>
      </c>
      <c r="AH46" s="9">
        <v>33271.800000000003</v>
      </c>
      <c r="AI46" s="9">
        <v>6400.9</v>
      </c>
      <c r="AJ46" s="9">
        <v>9445.0499999999993</v>
      </c>
      <c r="AK46" s="9">
        <v>12366.55</v>
      </c>
      <c r="AL46" s="9">
        <v>9229.85</v>
      </c>
      <c r="AM46" s="9">
        <v>11211.9</v>
      </c>
      <c r="AN46" s="9">
        <v>25875.7</v>
      </c>
      <c r="AO46" s="9">
        <v>23737.599999999999</v>
      </c>
      <c r="AP46" s="9">
        <v>11533.6</v>
      </c>
      <c r="AQ46" s="9">
        <v>11539.8</v>
      </c>
      <c r="AR46" s="9">
        <v>184.2</v>
      </c>
      <c r="AS46" s="9">
        <v>5540.5</v>
      </c>
      <c r="AT46" s="9">
        <v>6201</v>
      </c>
      <c r="AU46" s="9">
        <v>6537.05</v>
      </c>
      <c r="AV46" s="9">
        <v>5639.6</v>
      </c>
      <c r="AW46" s="9">
        <v>7030.35</v>
      </c>
      <c r="AX46" s="9">
        <v>10164.15</v>
      </c>
      <c r="AY46" s="9">
        <v>22581.200000000001</v>
      </c>
      <c r="AZ46" s="9">
        <v>13551.3</v>
      </c>
      <c r="BA46" s="9">
        <v>101229.65</v>
      </c>
      <c r="BB46" s="9">
        <v>18094.2</v>
      </c>
      <c r="BC46" s="9">
        <v>7466.6</v>
      </c>
      <c r="BD46" s="9">
        <v>19256.150000000001</v>
      </c>
      <c r="BE46" s="9">
        <v>12271.9</v>
      </c>
      <c r="BF46" s="9">
        <v>35545.199999999997</v>
      </c>
      <c r="BG46" s="9">
        <v>3638.15</v>
      </c>
      <c r="BH46" s="9">
        <v>1671.8</v>
      </c>
      <c r="BI46" s="9">
        <v>16230.55</v>
      </c>
      <c r="BJ46" s="9">
        <v>4072.1</v>
      </c>
      <c r="BK46" s="9">
        <v>15964</v>
      </c>
      <c r="BL46" s="9">
        <v>6954.01</v>
      </c>
      <c r="BM46" s="9">
        <v>9156.64</v>
      </c>
      <c r="BN46" s="9">
        <v>29025.85</v>
      </c>
      <c r="BO46" s="9">
        <v>6978.15</v>
      </c>
      <c r="BP46" s="9">
        <v>12604</v>
      </c>
      <c r="BQ46" s="9">
        <v>28861.1</v>
      </c>
      <c r="BR46" s="9">
        <v>30589.75</v>
      </c>
      <c r="BS46" s="9">
        <v>12077.65</v>
      </c>
      <c r="BT46" s="9">
        <v>98380.5</v>
      </c>
      <c r="BU46" s="9">
        <v>8191.1</v>
      </c>
      <c r="BV46" s="9">
        <v>9779.5</v>
      </c>
      <c r="BW46" s="9">
        <v>1307.4000000000001</v>
      </c>
      <c r="BX46" s="9">
        <v>7949.7</v>
      </c>
      <c r="BY46" s="9">
        <v>29652.7</v>
      </c>
      <c r="BZ46" s="9">
        <v>5300.95</v>
      </c>
      <c r="CA46" s="9">
        <v>12081.34</v>
      </c>
      <c r="CB46" s="9">
        <v>16819.400000000001</v>
      </c>
      <c r="CD46" s="3" t="s">
        <v>116</v>
      </c>
    </row>
    <row r="47" spans="1:82" x14ac:dyDescent="0.2">
      <c r="B47" s="30" t="s">
        <v>85</v>
      </c>
      <c r="C47" s="36">
        <f t="shared" si="10"/>
        <v>25.3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25.3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D47" s="3" t="s">
        <v>116</v>
      </c>
    </row>
    <row r="48" spans="1:82" s="32" customFormat="1" x14ac:dyDescent="0.2">
      <c r="A48" s="21"/>
      <c r="B48" s="32" t="s">
        <v>93</v>
      </c>
      <c r="C48" s="15">
        <f t="shared" si="10"/>
        <v>1496670.9699999997</v>
      </c>
      <c r="D48" s="34">
        <f>D46-D47</f>
        <v>315496.09999999998</v>
      </c>
      <c r="E48" s="34">
        <f t="shared" ref="E48:BP48" si="21">E46-E47</f>
        <v>29859.1</v>
      </c>
      <c r="F48" s="34">
        <f t="shared" si="21"/>
        <v>3140.85</v>
      </c>
      <c r="G48" s="34">
        <f t="shared" si="21"/>
        <v>2504.4</v>
      </c>
      <c r="H48" s="34">
        <f t="shared" si="21"/>
        <v>10751.6</v>
      </c>
      <c r="I48" s="34">
        <f t="shared" si="21"/>
        <v>16182.65</v>
      </c>
      <c r="J48" s="34">
        <f t="shared" si="21"/>
        <v>13426.2</v>
      </c>
      <c r="K48" s="34">
        <f t="shared" si="21"/>
        <v>2100.1999999999998</v>
      </c>
      <c r="L48" s="34">
        <f t="shared" si="21"/>
        <v>0</v>
      </c>
      <c r="M48" s="34">
        <f t="shared" si="21"/>
        <v>2700.35</v>
      </c>
      <c r="N48" s="34">
        <f t="shared" si="21"/>
        <v>6236.15</v>
      </c>
      <c r="O48" s="34">
        <f t="shared" si="21"/>
        <v>15149.4</v>
      </c>
      <c r="P48" s="34">
        <f t="shared" si="21"/>
        <v>38761</v>
      </c>
      <c r="Q48" s="34">
        <f t="shared" si="21"/>
        <v>20816.09</v>
      </c>
      <c r="R48" s="34">
        <f t="shared" si="21"/>
        <v>11509</v>
      </c>
      <c r="S48" s="34">
        <f t="shared" si="21"/>
        <v>12559</v>
      </c>
      <c r="T48" s="34">
        <f t="shared" si="21"/>
        <v>28071.35</v>
      </c>
      <c r="U48" s="34">
        <f t="shared" si="21"/>
        <v>0</v>
      </c>
      <c r="V48" s="34">
        <f t="shared" si="21"/>
        <v>9221.7000000000007</v>
      </c>
      <c r="W48" s="34">
        <f t="shared" si="21"/>
        <v>15918.45</v>
      </c>
      <c r="X48" s="34">
        <f t="shared" si="21"/>
        <v>16265.94</v>
      </c>
      <c r="Y48" s="34">
        <f t="shared" si="21"/>
        <v>7662</v>
      </c>
      <c r="Z48" s="34">
        <f t="shared" si="21"/>
        <v>3811.55</v>
      </c>
      <c r="AA48" s="34">
        <f t="shared" si="21"/>
        <v>39114.65</v>
      </c>
      <c r="AB48" s="34">
        <f t="shared" si="21"/>
        <v>2127.8000000000002</v>
      </c>
      <c r="AC48" s="34">
        <f t="shared" si="21"/>
        <v>24656.95</v>
      </c>
      <c r="AD48" s="34">
        <f t="shared" si="21"/>
        <v>3990.2</v>
      </c>
      <c r="AE48" s="34">
        <f t="shared" si="21"/>
        <v>21996.65</v>
      </c>
      <c r="AF48" s="34">
        <f t="shared" si="21"/>
        <v>7379.5</v>
      </c>
      <c r="AG48" s="34">
        <f t="shared" si="21"/>
        <v>22095.3</v>
      </c>
      <c r="AH48" s="34">
        <f t="shared" si="21"/>
        <v>33271.800000000003</v>
      </c>
      <c r="AI48" s="34">
        <f t="shared" si="21"/>
        <v>6400.9</v>
      </c>
      <c r="AJ48" s="34">
        <f t="shared" si="21"/>
        <v>9445.0499999999993</v>
      </c>
      <c r="AK48" s="34">
        <f t="shared" si="21"/>
        <v>12366.55</v>
      </c>
      <c r="AL48" s="34">
        <f t="shared" si="21"/>
        <v>9229.85</v>
      </c>
      <c r="AM48" s="34">
        <f t="shared" si="21"/>
        <v>11211.9</v>
      </c>
      <c r="AN48" s="34">
        <f t="shared" si="21"/>
        <v>25875.7</v>
      </c>
      <c r="AO48" s="34">
        <f t="shared" si="21"/>
        <v>23737.599999999999</v>
      </c>
      <c r="AP48" s="34">
        <f t="shared" si="21"/>
        <v>11533.6</v>
      </c>
      <c r="AQ48" s="34">
        <f t="shared" si="21"/>
        <v>11539.8</v>
      </c>
      <c r="AR48" s="34">
        <f t="shared" si="21"/>
        <v>184.2</v>
      </c>
      <c r="AS48" s="34">
        <f t="shared" si="21"/>
        <v>5540.5</v>
      </c>
      <c r="AT48" s="34">
        <f t="shared" si="21"/>
        <v>6201</v>
      </c>
      <c r="AU48" s="34">
        <f t="shared" si="21"/>
        <v>6537.05</v>
      </c>
      <c r="AV48" s="34">
        <f t="shared" si="21"/>
        <v>5639.6</v>
      </c>
      <c r="AW48" s="34">
        <f t="shared" si="21"/>
        <v>7030.35</v>
      </c>
      <c r="AX48" s="34">
        <f t="shared" si="21"/>
        <v>10164.15</v>
      </c>
      <c r="AY48" s="34">
        <f t="shared" si="21"/>
        <v>22581.200000000001</v>
      </c>
      <c r="AZ48" s="34">
        <f t="shared" si="21"/>
        <v>13551.3</v>
      </c>
      <c r="BA48" s="34">
        <f t="shared" si="21"/>
        <v>101229.65</v>
      </c>
      <c r="BB48" s="34">
        <f t="shared" si="21"/>
        <v>18094.2</v>
      </c>
      <c r="BC48" s="34">
        <f t="shared" si="21"/>
        <v>7466.6</v>
      </c>
      <c r="BD48" s="34">
        <f t="shared" si="21"/>
        <v>19256.150000000001</v>
      </c>
      <c r="BE48" s="34">
        <f t="shared" si="21"/>
        <v>12271.9</v>
      </c>
      <c r="BF48" s="34">
        <f t="shared" si="21"/>
        <v>35545.199999999997</v>
      </c>
      <c r="BG48" s="34">
        <f t="shared" si="21"/>
        <v>3638.15</v>
      </c>
      <c r="BH48" s="34">
        <f t="shared" si="21"/>
        <v>1671.8</v>
      </c>
      <c r="BI48" s="34">
        <f t="shared" si="21"/>
        <v>16230.55</v>
      </c>
      <c r="BJ48" s="34">
        <f t="shared" si="21"/>
        <v>4072.1</v>
      </c>
      <c r="BK48" s="34">
        <f t="shared" si="21"/>
        <v>15964</v>
      </c>
      <c r="BL48" s="34">
        <f t="shared" si="21"/>
        <v>6954.01</v>
      </c>
      <c r="BM48" s="34">
        <f t="shared" si="21"/>
        <v>9156.64</v>
      </c>
      <c r="BN48" s="34">
        <f t="shared" si="21"/>
        <v>29000.55</v>
      </c>
      <c r="BO48" s="34">
        <f t="shared" si="21"/>
        <v>6978.15</v>
      </c>
      <c r="BP48" s="34">
        <f t="shared" si="21"/>
        <v>12604</v>
      </c>
      <c r="BQ48" s="34">
        <f t="shared" ref="BQ48:CB48" si="22">BQ46-BQ47</f>
        <v>28861.1</v>
      </c>
      <c r="BR48" s="34">
        <f t="shared" si="22"/>
        <v>30589.75</v>
      </c>
      <c r="BS48" s="34">
        <f t="shared" si="22"/>
        <v>12077.65</v>
      </c>
      <c r="BT48" s="34">
        <f t="shared" si="22"/>
        <v>98380.5</v>
      </c>
      <c r="BU48" s="34">
        <f t="shared" si="22"/>
        <v>8191.1</v>
      </c>
      <c r="BV48" s="34">
        <f t="shared" si="22"/>
        <v>9779.5</v>
      </c>
      <c r="BW48" s="34">
        <f t="shared" si="22"/>
        <v>1307.4000000000001</v>
      </c>
      <c r="BX48" s="34">
        <f t="shared" si="22"/>
        <v>7949.7</v>
      </c>
      <c r="BY48" s="34">
        <f t="shared" si="22"/>
        <v>29652.7</v>
      </c>
      <c r="BZ48" s="34">
        <f t="shared" si="22"/>
        <v>5300.95</v>
      </c>
      <c r="CA48" s="34">
        <f t="shared" si="22"/>
        <v>12081.34</v>
      </c>
      <c r="CB48" s="34">
        <f t="shared" si="22"/>
        <v>16819.400000000001</v>
      </c>
      <c r="CC48" s="21"/>
      <c r="CD48" s="21"/>
    </row>
    <row r="49" spans="1:82" x14ac:dyDescent="0.2">
      <c r="B49" s="30"/>
      <c r="C49" s="15"/>
    </row>
    <row r="50" spans="1:82" x14ac:dyDescent="0.2">
      <c r="A50" s="35" t="s">
        <v>169</v>
      </c>
      <c r="B50" s="26" t="s">
        <v>2</v>
      </c>
      <c r="C50" s="1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</row>
    <row r="51" spans="1:82" x14ac:dyDescent="0.2">
      <c r="B51" s="30" t="s">
        <v>84</v>
      </c>
      <c r="C51" s="36">
        <f t="shared" si="10"/>
        <v>55965094.730000004</v>
      </c>
      <c r="D51" s="9">
        <v>9326151.5999999996</v>
      </c>
      <c r="E51" s="9">
        <v>940172.85</v>
      </c>
      <c r="F51" s="9">
        <v>102144.65</v>
      </c>
      <c r="G51" s="9">
        <v>57576.85</v>
      </c>
      <c r="H51" s="9">
        <v>473549.75</v>
      </c>
      <c r="I51" s="9">
        <v>1700087.84</v>
      </c>
      <c r="J51" s="9">
        <v>221270</v>
      </c>
      <c r="K51" s="9">
        <v>40380</v>
      </c>
      <c r="L51" s="9">
        <v>114789.35</v>
      </c>
      <c r="M51" s="9">
        <v>61705.95</v>
      </c>
      <c r="N51" s="9">
        <v>180975.5</v>
      </c>
      <c r="O51" s="9">
        <v>1554869.65</v>
      </c>
      <c r="P51" s="9">
        <v>1057648.55</v>
      </c>
      <c r="Q51" s="9">
        <v>789095.95</v>
      </c>
      <c r="R51" s="9">
        <v>283610</v>
      </c>
      <c r="S51" s="9">
        <v>455438</v>
      </c>
      <c r="T51" s="9">
        <v>1545956.5</v>
      </c>
      <c r="U51" s="9">
        <v>392514</v>
      </c>
      <c r="V51" s="9">
        <v>583257.1</v>
      </c>
      <c r="W51" s="9">
        <v>678553.7</v>
      </c>
      <c r="X51" s="9">
        <v>930639.5</v>
      </c>
      <c r="Y51" s="9">
        <v>371287</v>
      </c>
      <c r="Z51" s="9">
        <v>136238</v>
      </c>
      <c r="AA51" s="9">
        <v>932829.3</v>
      </c>
      <c r="AB51" s="9">
        <v>118436.3</v>
      </c>
      <c r="AC51" s="9">
        <v>449071.9</v>
      </c>
      <c r="AD51" s="9">
        <v>246230.15</v>
      </c>
      <c r="AE51" s="9">
        <v>835575.9</v>
      </c>
      <c r="AF51" s="9">
        <v>269807.45</v>
      </c>
      <c r="AG51" s="9">
        <v>606637.1</v>
      </c>
      <c r="AH51" s="9">
        <v>1839979.14</v>
      </c>
      <c r="AI51" s="9">
        <v>616994.1</v>
      </c>
      <c r="AJ51" s="9">
        <v>585343.44999999995</v>
      </c>
      <c r="AK51" s="9">
        <v>374113</v>
      </c>
      <c r="AL51" s="9">
        <v>392687.15</v>
      </c>
      <c r="AM51" s="9">
        <v>773348.45</v>
      </c>
      <c r="AN51" s="9">
        <v>83586.75</v>
      </c>
      <c r="AO51" s="9">
        <v>709518.65</v>
      </c>
      <c r="AP51" s="9">
        <v>636672.1</v>
      </c>
      <c r="AQ51" s="9">
        <v>402905.95</v>
      </c>
      <c r="AR51" s="9">
        <v>525083.6</v>
      </c>
      <c r="AS51" s="9">
        <v>314900.45</v>
      </c>
      <c r="AT51" s="9">
        <v>151944.45000000001</v>
      </c>
      <c r="AU51" s="9">
        <v>407758.25</v>
      </c>
      <c r="AV51" s="9">
        <v>211052.75</v>
      </c>
      <c r="AW51" s="9">
        <v>411356.9</v>
      </c>
      <c r="AX51" s="9">
        <v>714752.15</v>
      </c>
      <c r="AY51" s="9">
        <v>773955.95</v>
      </c>
      <c r="AZ51" s="9">
        <v>612018.19999999995</v>
      </c>
      <c r="BA51" s="9">
        <v>4012179.55</v>
      </c>
      <c r="BB51" s="9">
        <v>859494.5</v>
      </c>
      <c r="BC51" s="9">
        <v>337941.9</v>
      </c>
      <c r="BD51" s="9">
        <v>313935.25</v>
      </c>
      <c r="BE51" s="9">
        <v>457321</v>
      </c>
      <c r="BF51" s="9">
        <v>702183.3</v>
      </c>
      <c r="BG51" s="9">
        <v>225336.6</v>
      </c>
      <c r="BH51" s="9">
        <v>101452.95</v>
      </c>
      <c r="BI51" s="9">
        <v>481611.45</v>
      </c>
      <c r="BJ51" s="9">
        <v>82960.600000000006</v>
      </c>
      <c r="BK51" s="9">
        <v>427762.3</v>
      </c>
      <c r="BL51" s="9">
        <v>156559.45000000001</v>
      </c>
      <c r="BM51" s="9">
        <v>108263.5</v>
      </c>
      <c r="BN51" s="9">
        <v>819816.2</v>
      </c>
      <c r="BO51" s="9">
        <v>449409.3</v>
      </c>
      <c r="BP51" s="9">
        <v>577450.35</v>
      </c>
      <c r="BQ51" s="9">
        <v>1516627.95</v>
      </c>
      <c r="BR51" s="9">
        <v>888990.5</v>
      </c>
      <c r="BS51" s="9">
        <v>291214.75</v>
      </c>
      <c r="BT51" s="9">
        <v>3063307.05</v>
      </c>
      <c r="BU51" s="9">
        <v>538237</v>
      </c>
      <c r="BV51" s="9">
        <v>451779.9</v>
      </c>
      <c r="BW51" s="9">
        <v>78205.05</v>
      </c>
      <c r="BX51" s="9">
        <v>192888.45</v>
      </c>
      <c r="BY51" s="9">
        <v>1707408.2</v>
      </c>
      <c r="BZ51" s="9">
        <v>159189.5</v>
      </c>
      <c r="CA51" s="9">
        <v>347406</v>
      </c>
      <c r="CB51" s="9">
        <v>621690.35</v>
      </c>
      <c r="CD51" s="3" t="s">
        <v>116</v>
      </c>
    </row>
    <row r="52" spans="1:82" x14ac:dyDescent="0.2">
      <c r="B52" s="30" t="s">
        <v>85</v>
      </c>
      <c r="C52" s="36">
        <f t="shared" si="10"/>
        <v>320.12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253.55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66.569999999999993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D52" s="3" t="s">
        <v>116</v>
      </c>
    </row>
    <row r="53" spans="1:82" s="32" customFormat="1" x14ac:dyDescent="0.2">
      <c r="A53" s="21"/>
      <c r="B53" s="32" t="s">
        <v>93</v>
      </c>
      <c r="C53" s="15">
        <f t="shared" si="10"/>
        <v>55964774.610000007</v>
      </c>
      <c r="D53" s="34">
        <f>D51-D52</f>
        <v>9326151.5999999996</v>
      </c>
      <c r="E53" s="34">
        <f t="shared" ref="E53:BP53" si="23">E51-E52</f>
        <v>940172.85</v>
      </c>
      <c r="F53" s="34">
        <f t="shared" si="23"/>
        <v>102144.65</v>
      </c>
      <c r="G53" s="34">
        <f t="shared" si="23"/>
        <v>57576.85</v>
      </c>
      <c r="H53" s="34">
        <f t="shared" si="23"/>
        <v>473549.75</v>
      </c>
      <c r="I53" s="34">
        <f t="shared" si="23"/>
        <v>1700087.84</v>
      </c>
      <c r="J53" s="34">
        <f t="shared" si="23"/>
        <v>221270</v>
      </c>
      <c r="K53" s="34">
        <f t="shared" si="23"/>
        <v>40380</v>
      </c>
      <c r="L53" s="34">
        <f t="shared" si="23"/>
        <v>114789.35</v>
      </c>
      <c r="M53" s="34">
        <f t="shared" si="23"/>
        <v>61705.95</v>
      </c>
      <c r="N53" s="34">
        <f t="shared" si="23"/>
        <v>180975.5</v>
      </c>
      <c r="O53" s="34">
        <f t="shared" si="23"/>
        <v>1554869.65</v>
      </c>
      <c r="P53" s="34">
        <f t="shared" si="23"/>
        <v>1057648.55</v>
      </c>
      <c r="Q53" s="34">
        <f t="shared" si="23"/>
        <v>789095.95</v>
      </c>
      <c r="R53" s="34">
        <f t="shared" si="23"/>
        <v>283610</v>
      </c>
      <c r="S53" s="34">
        <f t="shared" si="23"/>
        <v>455438</v>
      </c>
      <c r="T53" s="34">
        <f t="shared" si="23"/>
        <v>1545956.5</v>
      </c>
      <c r="U53" s="34">
        <f t="shared" si="23"/>
        <v>392514</v>
      </c>
      <c r="V53" s="34">
        <f t="shared" si="23"/>
        <v>583003.54999999993</v>
      </c>
      <c r="W53" s="34">
        <f t="shared" si="23"/>
        <v>678553.7</v>
      </c>
      <c r="X53" s="34">
        <f t="shared" si="23"/>
        <v>930639.5</v>
      </c>
      <c r="Y53" s="34">
        <f t="shared" si="23"/>
        <v>371287</v>
      </c>
      <c r="Z53" s="34">
        <f t="shared" si="23"/>
        <v>136238</v>
      </c>
      <c r="AA53" s="34">
        <f t="shared" si="23"/>
        <v>932829.3</v>
      </c>
      <c r="AB53" s="34">
        <f t="shared" si="23"/>
        <v>118436.3</v>
      </c>
      <c r="AC53" s="34">
        <f t="shared" si="23"/>
        <v>449071.9</v>
      </c>
      <c r="AD53" s="34">
        <f t="shared" si="23"/>
        <v>246230.15</v>
      </c>
      <c r="AE53" s="34">
        <f t="shared" si="23"/>
        <v>835575.9</v>
      </c>
      <c r="AF53" s="34">
        <f t="shared" si="23"/>
        <v>269807.45</v>
      </c>
      <c r="AG53" s="34">
        <f t="shared" si="23"/>
        <v>606637.1</v>
      </c>
      <c r="AH53" s="34">
        <f t="shared" si="23"/>
        <v>1839979.14</v>
      </c>
      <c r="AI53" s="34">
        <f t="shared" si="23"/>
        <v>616994.1</v>
      </c>
      <c r="AJ53" s="34">
        <f t="shared" si="23"/>
        <v>585343.44999999995</v>
      </c>
      <c r="AK53" s="34">
        <f t="shared" si="23"/>
        <v>374113</v>
      </c>
      <c r="AL53" s="34">
        <f t="shared" si="23"/>
        <v>392687.15</v>
      </c>
      <c r="AM53" s="34">
        <f t="shared" si="23"/>
        <v>773348.45</v>
      </c>
      <c r="AN53" s="34">
        <f t="shared" si="23"/>
        <v>83586.75</v>
      </c>
      <c r="AO53" s="34">
        <f t="shared" si="23"/>
        <v>709518.65</v>
      </c>
      <c r="AP53" s="34">
        <f t="shared" si="23"/>
        <v>636672.1</v>
      </c>
      <c r="AQ53" s="34">
        <f t="shared" si="23"/>
        <v>402905.95</v>
      </c>
      <c r="AR53" s="34">
        <f t="shared" si="23"/>
        <v>525083.6</v>
      </c>
      <c r="AS53" s="34">
        <f t="shared" si="23"/>
        <v>314900.45</v>
      </c>
      <c r="AT53" s="34">
        <f t="shared" si="23"/>
        <v>151944.45000000001</v>
      </c>
      <c r="AU53" s="34">
        <f t="shared" si="23"/>
        <v>407758.25</v>
      </c>
      <c r="AV53" s="34">
        <f t="shared" si="23"/>
        <v>211052.75</v>
      </c>
      <c r="AW53" s="34">
        <f t="shared" si="23"/>
        <v>411356.9</v>
      </c>
      <c r="AX53" s="34">
        <f t="shared" si="23"/>
        <v>714685.58000000007</v>
      </c>
      <c r="AY53" s="34">
        <f t="shared" si="23"/>
        <v>773955.95</v>
      </c>
      <c r="AZ53" s="34">
        <f t="shared" si="23"/>
        <v>612018.19999999995</v>
      </c>
      <c r="BA53" s="34">
        <f t="shared" si="23"/>
        <v>4012179.55</v>
      </c>
      <c r="BB53" s="34">
        <f t="shared" si="23"/>
        <v>859494.5</v>
      </c>
      <c r="BC53" s="34">
        <f t="shared" si="23"/>
        <v>337941.9</v>
      </c>
      <c r="BD53" s="34">
        <f t="shared" si="23"/>
        <v>313935.25</v>
      </c>
      <c r="BE53" s="34">
        <f t="shared" si="23"/>
        <v>457321</v>
      </c>
      <c r="BF53" s="34">
        <f t="shared" si="23"/>
        <v>702183.3</v>
      </c>
      <c r="BG53" s="34">
        <f t="shared" si="23"/>
        <v>225336.6</v>
      </c>
      <c r="BH53" s="34">
        <f t="shared" si="23"/>
        <v>101452.95</v>
      </c>
      <c r="BI53" s="34">
        <f t="shared" si="23"/>
        <v>481611.45</v>
      </c>
      <c r="BJ53" s="34">
        <f t="shared" si="23"/>
        <v>82960.600000000006</v>
      </c>
      <c r="BK53" s="34">
        <f t="shared" si="23"/>
        <v>427762.3</v>
      </c>
      <c r="BL53" s="34">
        <f t="shared" si="23"/>
        <v>156559.45000000001</v>
      </c>
      <c r="BM53" s="34">
        <f t="shared" si="23"/>
        <v>108263.5</v>
      </c>
      <c r="BN53" s="34">
        <f t="shared" si="23"/>
        <v>819816.2</v>
      </c>
      <c r="BO53" s="34">
        <f t="shared" si="23"/>
        <v>449409.3</v>
      </c>
      <c r="BP53" s="34">
        <f t="shared" si="23"/>
        <v>577450.35</v>
      </c>
      <c r="BQ53" s="34">
        <f t="shared" ref="BQ53:CB53" si="24">BQ51-BQ52</f>
        <v>1516627.95</v>
      </c>
      <c r="BR53" s="34">
        <f t="shared" si="24"/>
        <v>888990.5</v>
      </c>
      <c r="BS53" s="34">
        <f t="shared" si="24"/>
        <v>291214.75</v>
      </c>
      <c r="BT53" s="34">
        <f t="shared" si="24"/>
        <v>3063307.05</v>
      </c>
      <c r="BU53" s="34">
        <f t="shared" si="24"/>
        <v>538237</v>
      </c>
      <c r="BV53" s="34">
        <f t="shared" si="24"/>
        <v>451779.9</v>
      </c>
      <c r="BW53" s="34">
        <f t="shared" si="24"/>
        <v>78205.05</v>
      </c>
      <c r="BX53" s="34">
        <f t="shared" si="24"/>
        <v>192888.45</v>
      </c>
      <c r="BY53" s="34">
        <f t="shared" si="24"/>
        <v>1707408.2</v>
      </c>
      <c r="BZ53" s="34">
        <f t="shared" si="24"/>
        <v>159189.5</v>
      </c>
      <c r="CA53" s="34">
        <f t="shared" si="24"/>
        <v>347406</v>
      </c>
      <c r="CB53" s="34">
        <f t="shared" si="24"/>
        <v>621690.35</v>
      </c>
      <c r="CC53" s="21"/>
      <c r="CD53" s="21"/>
    </row>
    <row r="54" spans="1:82" x14ac:dyDescent="0.2">
      <c r="B54" s="30"/>
      <c r="C54" s="15"/>
    </row>
    <row r="55" spans="1:82" x14ac:dyDescent="0.2">
      <c r="A55" s="35" t="s">
        <v>170</v>
      </c>
      <c r="B55" s="26" t="s">
        <v>3</v>
      </c>
      <c r="C55" s="1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</row>
    <row r="56" spans="1:82" x14ac:dyDescent="0.2">
      <c r="B56" s="30" t="s">
        <v>84</v>
      </c>
      <c r="C56" s="36">
        <f t="shared" si="10"/>
        <v>63163925.149999991</v>
      </c>
      <c r="D56" s="41">
        <v>8881791.3000000007</v>
      </c>
      <c r="E56" s="41">
        <v>650510.44999999995</v>
      </c>
      <c r="F56" s="41">
        <v>27462.799999999999</v>
      </c>
      <c r="G56" s="41">
        <v>80270</v>
      </c>
      <c r="H56" s="41">
        <v>759078.15</v>
      </c>
      <c r="I56" s="41">
        <v>1178074.45</v>
      </c>
      <c r="J56" s="41">
        <v>303450.25</v>
      </c>
      <c r="K56" s="41">
        <v>32209.85</v>
      </c>
      <c r="L56" s="41">
        <v>141222.04999999999</v>
      </c>
      <c r="M56" s="41">
        <v>67491.899999999994</v>
      </c>
      <c r="N56" s="41">
        <v>136087.79999999999</v>
      </c>
      <c r="O56" s="41">
        <v>965995.8</v>
      </c>
      <c r="P56" s="41">
        <v>726848.2</v>
      </c>
      <c r="Q56" s="41">
        <v>1419817.65</v>
      </c>
      <c r="R56" s="41">
        <v>302886.75</v>
      </c>
      <c r="S56" s="41">
        <v>449161.8</v>
      </c>
      <c r="T56" s="41">
        <v>1352680.4</v>
      </c>
      <c r="U56" s="41">
        <v>436975.15</v>
      </c>
      <c r="V56" s="41">
        <v>1057749.5</v>
      </c>
      <c r="W56" s="41">
        <v>1075759.1000000001</v>
      </c>
      <c r="X56" s="41">
        <v>1393728.65</v>
      </c>
      <c r="Y56" s="41">
        <v>508214.25</v>
      </c>
      <c r="Z56" s="41">
        <v>342937.45</v>
      </c>
      <c r="AA56" s="41">
        <v>1511603.1</v>
      </c>
      <c r="AB56" s="41">
        <v>3704.2</v>
      </c>
      <c r="AC56" s="41">
        <v>854007.3</v>
      </c>
      <c r="AD56" s="41">
        <v>348709.9</v>
      </c>
      <c r="AE56" s="41">
        <v>1038982.45</v>
      </c>
      <c r="AF56" s="41">
        <v>311815.2</v>
      </c>
      <c r="AG56" s="41">
        <v>982352.15</v>
      </c>
      <c r="AH56" s="41">
        <v>1072102</v>
      </c>
      <c r="AI56" s="41">
        <v>672957.45</v>
      </c>
      <c r="AJ56" s="41">
        <v>406356.85</v>
      </c>
      <c r="AK56" s="41">
        <v>746310.9</v>
      </c>
      <c r="AL56" s="41">
        <v>496076.6</v>
      </c>
      <c r="AM56" s="41">
        <v>1421871.5</v>
      </c>
      <c r="AN56" s="41">
        <v>51320.55</v>
      </c>
      <c r="AO56" s="41">
        <v>607883.94999999995</v>
      </c>
      <c r="AP56" s="41">
        <v>-18959.2</v>
      </c>
      <c r="AQ56" s="41">
        <v>813446.7</v>
      </c>
      <c r="AR56" s="41">
        <v>449098</v>
      </c>
      <c r="AS56" s="41">
        <v>389043.15</v>
      </c>
      <c r="AT56" s="41">
        <v>291405.55</v>
      </c>
      <c r="AU56" s="41">
        <v>374058.95</v>
      </c>
      <c r="AV56" s="41">
        <v>336434.25</v>
      </c>
      <c r="AW56" s="41">
        <v>459276.45</v>
      </c>
      <c r="AX56" s="41">
        <v>971482.1</v>
      </c>
      <c r="AY56" s="41">
        <v>511726.2</v>
      </c>
      <c r="AZ56" s="41">
        <v>1078875.3500000001</v>
      </c>
      <c r="BA56" s="41">
        <v>7731310.2999999998</v>
      </c>
      <c r="BB56" s="41">
        <v>910354.3</v>
      </c>
      <c r="BC56" s="41">
        <v>533841.69999999995</v>
      </c>
      <c r="BD56" s="41">
        <v>233863.15</v>
      </c>
      <c r="BE56" s="41">
        <v>457940.35</v>
      </c>
      <c r="BF56" s="41">
        <v>668312.15</v>
      </c>
      <c r="BG56" s="41">
        <v>64128.75</v>
      </c>
      <c r="BH56" s="41">
        <v>199423.6</v>
      </c>
      <c r="BI56" s="41">
        <v>292855.05</v>
      </c>
      <c r="BJ56" s="41">
        <v>7277.45</v>
      </c>
      <c r="BK56" s="41">
        <v>408801.1</v>
      </c>
      <c r="BL56" s="41">
        <v>120899.85</v>
      </c>
      <c r="BM56" s="41">
        <v>104023.05</v>
      </c>
      <c r="BN56" s="41">
        <v>974847.75</v>
      </c>
      <c r="BO56" s="41">
        <v>735260.75</v>
      </c>
      <c r="BP56" s="41">
        <v>588560.4</v>
      </c>
      <c r="BQ56" s="41">
        <v>1496828.55</v>
      </c>
      <c r="BR56" s="41">
        <v>1082921.95</v>
      </c>
      <c r="BS56" s="41">
        <v>362311.8</v>
      </c>
      <c r="BT56" s="41">
        <v>3693183.25</v>
      </c>
      <c r="BU56" s="41">
        <v>591592.30000000005</v>
      </c>
      <c r="BV56" s="41">
        <v>569512.35</v>
      </c>
      <c r="BW56" s="41">
        <v>54248.25</v>
      </c>
      <c r="BX56" s="41">
        <v>416521.85</v>
      </c>
      <c r="BY56" s="41">
        <v>683679</v>
      </c>
      <c r="BZ56" s="41">
        <v>200850.55</v>
      </c>
      <c r="CA56" s="41">
        <v>492811.3</v>
      </c>
      <c r="CB56" s="41">
        <v>1015419</v>
      </c>
      <c r="CD56" s="3" t="s">
        <v>115</v>
      </c>
    </row>
    <row r="57" spans="1:82" x14ac:dyDescent="0.2">
      <c r="B57" s="30" t="s">
        <v>89</v>
      </c>
      <c r="C57" s="36">
        <f t="shared" si="10"/>
        <v>5015.2999999999993</v>
      </c>
      <c r="D57" s="41">
        <v>75.899999999999991</v>
      </c>
      <c r="E57" s="41">
        <v>12.15</v>
      </c>
      <c r="F57" s="41">
        <v>0</v>
      </c>
      <c r="G57" s="41">
        <v>0</v>
      </c>
      <c r="H57" s="41">
        <v>0</v>
      </c>
      <c r="I57" s="41">
        <v>6.9</v>
      </c>
      <c r="J57" s="41">
        <v>17.850000000000001</v>
      </c>
      <c r="K57" s="41">
        <v>0</v>
      </c>
      <c r="L57" s="41">
        <v>0</v>
      </c>
      <c r="M57" s="41">
        <v>0</v>
      </c>
      <c r="N57" s="41">
        <v>11.95</v>
      </c>
      <c r="O57" s="41">
        <v>17.600000000000001</v>
      </c>
      <c r="P57" s="41">
        <v>0.65</v>
      </c>
      <c r="Q57" s="41">
        <v>7.1</v>
      </c>
      <c r="R57" s="41">
        <v>0</v>
      </c>
      <c r="S57" s="41">
        <v>0</v>
      </c>
      <c r="T57" s="41">
        <v>0.30000000000001137</v>
      </c>
      <c r="U57" s="41">
        <v>12.75</v>
      </c>
      <c r="V57" s="41">
        <v>12.9</v>
      </c>
      <c r="W57" s="41">
        <v>1.1499999999999999</v>
      </c>
      <c r="X57" s="41">
        <v>18.8</v>
      </c>
      <c r="Y57" s="41">
        <v>13.35</v>
      </c>
      <c r="Z57" s="41">
        <v>1.6</v>
      </c>
      <c r="AA57" s="41">
        <v>42.4</v>
      </c>
      <c r="AB57" s="41">
        <v>0</v>
      </c>
      <c r="AC57" s="41">
        <v>16.600000000000001</v>
      </c>
      <c r="AD57" s="41">
        <v>17.649999999999999</v>
      </c>
      <c r="AE57" s="41">
        <v>0.05</v>
      </c>
      <c r="AF57" s="41">
        <v>0</v>
      </c>
      <c r="AG57" s="41">
        <v>7.8</v>
      </c>
      <c r="AH57" s="41">
        <v>1.85</v>
      </c>
      <c r="AI57" s="41">
        <v>11.8</v>
      </c>
      <c r="AJ57" s="41">
        <v>9.5500000000000007</v>
      </c>
      <c r="AK57" s="41">
        <v>0</v>
      </c>
      <c r="AL57" s="41">
        <v>2.8</v>
      </c>
      <c r="AM57" s="41">
        <v>14.4</v>
      </c>
      <c r="AN57" s="41">
        <v>0</v>
      </c>
      <c r="AO57" s="41">
        <v>4.5</v>
      </c>
      <c r="AP57" s="41">
        <v>29.4</v>
      </c>
      <c r="AQ57" s="41">
        <v>0.1</v>
      </c>
      <c r="AR57" s="41">
        <v>47.5</v>
      </c>
      <c r="AS57" s="41">
        <v>1901.3999999999999</v>
      </c>
      <c r="AT57" s="41">
        <v>0</v>
      </c>
      <c r="AU57" s="41">
        <v>4.5999999999999996</v>
      </c>
      <c r="AV57" s="41">
        <v>0</v>
      </c>
      <c r="AW57" s="41">
        <v>0</v>
      </c>
      <c r="AX57" s="41">
        <v>0.95</v>
      </c>
      <c r="AY57" s="41">
        <v>0</v>
      </c>
      <c r="AZ57" s="41">
        <v>0</v>
      </c>
      <c r="BA57" s="41">
        <v>11.25</v>
      </c>
      <c r="BB57" s="41">
        <v>19.45</v>
      </c>
      <c r="BC57" s="41">
        <v>16.95</v>
      </c>
      <c r="BD57" s="41">
        <v>12.05</v>
      </c>
      <c r="BE57" s="41">
        <v>25.85</v>
      </c>
      <c r="BF57" s="41">
        <v>2409</v>
      </c>
      <c r="BG57" s="41">
        <v>11.65</v>
      </c>
      <c r="BH57" s="41">
        <v>5</v>
      </c>
      <c r="BI57" s="41">
        <v>0</v>
      </c>
      <c r="BJ57" s="41">
        <v>0</v>
      </c>
      <c r="BK57" s="41">
        <v>10.7</v>
      </c>
      <c r="BL57" s="41">
        <v>0</v>
      </c>
      <c r="BM57" s="41">
        <v>10.25</v>
      </c>
      <c r="BN57" s="41">
        <v>3.1</v>
      </c>
      <c r="BO57" s="41">
        <v>5.8</v>
      </c>
      <c r="BP57" s="41">
        <v>18.75</v>
      </c>
      <c r="BQ57" s="41">
        <v>76.95</v>
      </c>
      <c r="BR57" s="41">
        <v>7.55</v>
      </c>
      <c r="BS57" s="41">
        <v>0.05</v>
      </c>
      <c r="BT57" s="41">
        <v>7.9</v>
      </c>
      <c r="BU57" s="41">
        <v>14</v>
      </c>
      <c r="BV57" s="41">
        <v>-1.4</v>
      </c>
      <c r="BW57" s="41">
        <v>1.7</v>
      </c>
      <c r="BX57" s="41">
        <v>2.25</v>
      </c>
      <c r="BY57" s="41">
        <v>16.7</v>
      </c>
      <c r="BZ57" s="41">
        <v>0</v>
      </c>
      <c r="CA57" s="41">
        <v>0.3</v>
      </c>
      <c r="CB57" s="41">
        <v>5.2</v>
      </c>
      <c r="CD57" s="3" t="s">
        <v>115</v>
      </c>
    </row>
    <row r="58" spans="1:82" s="32" customFormat="1" x14ac:dyDescent="0.2">
      <c r="A58" s="21"/>
      <c r="B58" s="32" t="s">
        <v>93</v>
      </c>
      <c r="C58" s="15">
        <f t="shared" si="10"/>
        <v>63158909.849999994</v>
      </c>
      <c r="D58" s="42">
        <f>D56-D57</f>
        <v>8881715.4000000004</v>
      </c>
      <c r="E58" s="42">
        <f t="shared" ref="E58:BP58" si="25">E56-E57</f>
        <v>650498.29999999993</v>
      </c>
      <c r="F58" s="42">
        <f t="shared" si="25"/>
        <v>27462.799999999999</v>
      </c>
      <c r="G58" s="42">
        <f t="shared" si="25"/>
        <v>80270</v>
      </c>
      <c r="H58" s="42">
        <f t="shared" si="25"/>
        <v>759078.15</v>
      </c>
      <c r="I58" s="42">
        <f t="shared" si="25"/>
        <v>1178067.55</v>
      </c>
      <c r="J58" s="42">
        <f t="shared" si="25"/>
        <v>303432.40000000002</v>
      </c>
      <c r="K58" s="42">
        <f t="shared" si="25"/>
        <v>32209.85</v>
      </c>
      <c r="L58" s="42">
        <f t="shared" si="25"/>
        <v>141222.04999999999</v>
      </c>
      <c r="M58" s="42">
        <f t="shared" si="25"/>
        <v>67491.899999999994</v>
      </c>
      <c r="N58" s="42">
        <f t="shared" si="25"/>
        <v>136075.84999999998</v>
      </c>
      <c r="O58" s="42">
        <f t="shared" si="25"/>
        <v>965978.20000000007</v>
      </c>
      <c r="P58" s="42">
        <f t="shared" si="25"/>
        <v>726847.54999999993</v>
      </c>
      <c r="Q58" s="42">
        <f t="shared" si="25"/>
        <v>1419810.5499999998</v>
      </c>
      <c r="R58" s="42">
        <f t="shared" si="25"/>
        <v>302886.75</v>
      </c>
      <c r="S58" s="42">
        <f t="shared" si="25"/>
        <v>449161.8</v>
      </c>
      <c r="T58" s="42">
        <f t="shared" si="25"/>
        <v>1352680.0999999999</v>
      </c>
      <c r="U58" s="42">
        <f t="shared" si="25"/>
        <v>436962.4</v>
      </c>
      <c r="V58" s="42">
        <f t="shared" si="25"/>
        <v>1057736.6000000001</v>
      </c>
      <c r="W58" s="42">
        <f t="shared" si="25"/>
        <v>1075757.9500000002</v>
      </c>
      <c r="X58" s="42">
        <f t="shared" si="25"/>
        <v>1393709.8499999999</v>
      </c>
      <c r="Y58" s="42">
        <f t="shared" si="25"/>
        <v>508200.9</v>
      </c>
      <c r="Z58" s="42">
        <f t="shared" si="25"/>
        <v>342935.85000000003</v>
      </c>
      <c r="AA58" s="42">
        <f t="shared" si="25"/>
        <v>1511560.7000000002</v>
      </c>
      <c r="AB58" s="42">
        <f t="shared" si="25"/>
        <v>3704.2</v>
      </c>
      <c r="AC58" s="42">
        <f t="shared" si="25"/>
        <v>853990.70000000007</v>
      </c>
      <c r="AD58" s="42">
        <f t="shared" si="25"/>
        <v>348692.25</v>
      </c>
      <c r="AE58" s="42">
        <f t="shared" si="25"/>
        <v>1038982.3999999999</v>
      </c>
      <c r="AF58" s="42">
        <f t="shared" si="25"/>
        <v>311815.2</v>
      </c>
      <c r="AG58" s="42">
        <f t="shared" si="25"/>
        <v>982344.35</v>
      </c>
      <c r="AH58" s="42">
        <f t="shared" si="25"/>
        <v>1072100.1499999999</v>
      </c>
      <c r="AI58" s="42">
        <f t="shared" si="25"/>
        <v>672945.64999999991</v>
      </c>
      <c r="AJ58" s="42">
        <f t="shared" si="25"/>
        <v>406347.3</v>
      </c>
      <c r="AK58" s="42">
        <f t="shared" si="25"/>
        <v>746310.9</v>
      </c>
      <c r="AL58" s="42">
        <f t="shared" si="25"/>
        <v>496073.8</v>
      </c>
      <c r="AM58" s="42">
        <f t="shared" si="25"/>
        <v>1421857.1</v>
      </c>
      <c r="AN58" s="42">
        <f t="shared" si="25"/>
        <v>51320.55</v>
      </c>
      <c r="AO58" s="42">
        <f t="shared" si="25"/>
        <v>607879.44999999995</v>
      </c>
      <c r="AP58" s="42">
        <f t="shared" si="25"/>
        <v>-18988.600000000002</v>
      </c>
      <c r="AQ58" s="42">
        <f t="shared" si="25"/>
        <v>813446.6</v>
      </c>
      <c r="AR58" s="42">
        <f t="shared" si="25"/>
        <v>449050.5</v>
      </c>
      <c r="AS58" s="42">
        <f t="shared" si="25"/>
        <v>387141.75</v>
      </c>
      <c r="AT58" s="42">
        <f t="shared" si="25"/>
        <v>291405.55</v>
      </c>
      <c r="AU58" s="42">
        <f t="shared" si="25"/>
        <v>374054.35000000003</v>
      </c>
      <c r="AV58" s="42">
        <f t="shared" si="25"/>
        <v>336434.25</v>
      </c>
      <c r="AW58" s="42">
        <f t="shared" si="25"/>
        <v>459276.45</v>
      </c>
      <c r="AX58" s="42">
        <f t="shared" si="25"/>
        <v>971481.15</v>
      </c>
      <c r="AY58" s="42">
        <f t="shared" si="25"/>
        <v>511726.2</v>
      </c>
      <c r="AZ58" s="42">
        <f t="shared" si="25"/>
        <v>1078875.3500000001</v>
      </c>
      <c r="BA58" s="42">
        <f t="shared" si="25"/>
        <v>7731299.0499999998</v>
      </c>
      <c r="BB58" s="42">
        <f t="shared" si="25"/>
        <v>910334.85000000009</v>
      </c>
      <c r="BC58" s="42">
        <f t="shared" si="25"/>
        <v>533824.75</v>
      </c>
      <c r="BD58" s="42">
        <f t="shared" si="25"/>
        <v>233851.1</v>
      </c>
      <c r="BE58" s="42">
        <f t="shared" si="25"/>
        <v>457914.5</v>
      </c>
      <c r="BF58" s="42">
        <f t="shared" si="25"/>
        <v>665903.15</v>
      </c>
      <c r="BG58" s="42">
        <f t="shared" si="25"/>
        <v>64117.1</v>
      </c>
      <c r="BH58" s="42">
        <f t="shared" si="25"/>
        <v>199418.6</v>
      </c>
      <c r="BI58" s="42">
        <f t="shared" si="25"/>
        <v>292855.05</v>
      </c>
      <c r="BJ58" s="42">
        <f t="shared" si="25"/>
        <v>7277.45</v>
      </c>
      <c r="BK58" s="42">
        <f t="shared" si="25"/>
        <v>408790.39999999997</v>
      </c>
      <c r="BL58" s="42">
        <f t="shared" si="25"/>
        <v>120899.85</v>
      </c>
      <c r="BM58" s="42">
        <f t="shared" si="25"/>
        <v>104012.8</v>
      </c>
      <c r="BN58" s="42">
        <f t="shared" si="25"/>
        <v>974844.65</v>
      </c>
      <c r="BO58" s="42">
        <f t="shared" si="25"/>
        <v>735254.95</v>
      </c>
      <c r="BP58" s="42">
        <f t="shared" si="25"/>
        <v>588541.65</v>
      </c>
      <c r="BQ58" s="42">
        <f t="shared" ref="BQ58:CB58" si="26">BQ56-BQ57</f>
        <v>1496751.6</v>
      </c>
      <c r="BR58" s="42">
        <f t="shared" si="26"/>
        <v>1082914.3999999999</v>
      </c>
      <c r="BS58" s="42">
        <f t="shared" si="26"/>
        <v>362311.75</v>
      </c>
      <c r="BT58" s="42">
        <f t="shared" si="26"/>
        <v>3693175.35</v>
      </c>
      <c r="BU58" s="42">
        <f t="shared" si="26"/>
        <v>591578.30000000005</v>
      </c>
      <c r="BV58" s="42">
        <f t="shared" si="26"/>
        <v>569513.75</v>
      </c>
      <c r="BW58" s="42">
        <f t="shared" si="26"/>
        <v>54246.55</v>
      </c>
      <c r="BX58" s="42">
        <f t="shared" si="26"/>
        <v>416519.6</v>
      </c>
      <c r="BY58" s="42">
        <f t="shared" si="26"/>
        <v>683662.3</v>
      </c>
      <c r="BZ58" s="42">
        <f t="shared" si="26"/>
        <v>200850.55</v>
      </c>
      <c r="CA58" s="42">
        <f t="shared" si="26"/>
        <v>492811</v>
      </c>
      <c r="CB58" s="42">
        <f t="shared" si="26"/>
        <v>1015413.8</v>
      </c>
      <c r="CC58" s="21"/>
      <c r="CD58" s="21"/>
    </row>
    <row r="59" spans="1:82" x14ac:dyDescent="0.2">
      <c r="B59" s="30"/>
      <c r="C59" s="33"/>
    </row>
    <row r="60" spans="1:82" x14ac:dyDescent="0.2">
      <c r="B60" s="24"/>
      <c r="C60" s="24"/>
      <c r="F60" s="2"/>
      <c r="G60" s="2"/>
      <c r="H60" s="2"/>
      <c r="I60" s="2"/>
    </row>
    <row r="61" spans="1:82" s="56" customFormat="1" ht="15.75" x14ac:dyDescent="0.25">
      <c r="A61" s="22" t="s">
        <v>103</v>
      </c>
      <c r="B61" s="23" t="s">
        <v>101</v>
      </c>
      <c r="C61" s="7"/>
      <c r="D61" s="7"/>
      <c r="E61" s="7"/>
      <c r="F61" s="8"/>
      <c r="G61" s="8"/>
      <c r="H61" s="8"/>
      <c r="I61" s="8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</row>
    <row r="62" spans="1:82" x14ac:dyDescent="0.2">
      <c r="B62" s="24"/>
      <c r="C62" s="36"/>
      <c r="D62" s="5"/>
      <c r="E62" s="5"/>
      <c r="F62" s="1"/>
      <c r="G62" s="1"/>
      <c r="H62" s="1"/>
      <c r="I62" s="1"/>
      <c r="J62" s="1"/>
      <c r="K62" s="1"/>
      <c r="L62" s="1"/>
      <c r="M62" s="1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2" x14ac:dyDescent="0.2">
      <c r="A63" s="35" t="s">
        <v>145</v>
      </c>
      <c r="B63" s="26" t="s">
        <v>4</v>
      </c>
      <c r="C63" s="37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35"/>
      <c r="CD63" s="35"/>
    </row>
    <row r="64" spans="1:82" x14ac:dyDescent="0.2">
      <c r="B64" s="28" t="s">
        <v>91</v>
      </c>
      <c r="C64" s="43">
        <f>C70/C68</f>
        <v>1.2086243860743471</v>
      </c>
      <c r="D64" s="10">
        <v>1.44</v>
      </c>
      <c r="E64" s="10">
        <v>1.39</v>
      </c>
      <c r="F64" s="11">
        <v>1.27</v>
      </c>
      <c r="G64" s="11">
        <v>1.39</v>
      </c>
      <c r="H64" s="11">
        <v>0.75</v>
      </c>
      <c r="I64" s="11">
        <v>1.04</v>
      </c>
      <c r="J64" s="11">
        <v>1.19</v>
      </c>
      <c r="K64" s="11">
        <v>1.36</v>
      </c>
      <c r="L64" s="11">
        <v>0.82</v>
      </c>
      <c r="M64" s="11">
        <v>1.25</v>
      </c>
      <c r="N64" s="10">
        <v>1.35</v>
      </c>
      <c r="O64" s="10">
        <v>1.02</v>
      </c>
      <c r="P64" s="10">
        <v>1.46</v>
      </c>
      <c r="Q64" s="10">
        <v>1.04</v>
      </c>
      <c r="R64" s="10">
        <v>1.29</v>
      </c>
      <c r="S64" s="10">
        <v>1.22</v>
      </c>
      <c r="T64" s="10">
        <v>0.9</v>
      </c>
      <c r="U64" s="10">
        <v>0.97</v>
      </c>
      <c r="V64" s="10">
        <v>0.77</v>
      </c>
      <c r="W64" s="10">
        <v>0.89</v>
      </c>
      <c r="X64" s="10">
        <v>0.86</v>
      </c>
      <c r="Y64" s="10">
        <v>1.19</v>
      </c>
      <c r="Z64" s="10">
        <v>1.28</v>
      </c>
      <c r="AA64" s="10">
        <v>1.39</v>
      </c>
      <c r="AB64" s="10">
        <v>1.33</v>
      </c>
      <c r="AC64" s="10">
        <v>1.22</v>
      </c>
      <c r="AD64" s="10">
        <v>1.35</v>
      </c>
      <c r="AE64" s="10">
        <v>0.98</v>
      </c>
      <c r="AF64" s="10">
        <v>1.39</v>
      </c>
      <c r="AG64" s="10">
        <v>1.2</v>
      </c>
      <c r="AH64" s="10">
        <v>1.18</v>
      </c>
      <c r="AI64" s="10">
        <v>1.25</v>
      </c>
      <c r="AJ64" s="10">
        <v>1.6</v>
      </c>
      <c r="AK64" s="10">
        <v>1.42</v>
      </c>
      <c r="AL64" s="10">
        <v>1.44</v>
      </c>
      <c r="AM64" s="10">
        <v>1</v>
      </c>
      <c r="AN64" s="10">
        <v>1.49</v>
      </c>
      <c r="AO64" s="10">
        <v>1.33</v>
      </c>
      <c r="AP64" s="10">
        <v>1.45</v>
      </c>
      <c r="AQ64" s="10">
        <v>1.32</v>
      </c>
      <c r="AR64" s="10">
        <v>1.25</v>
      </c>
      <c r="AS64" s="10">
        <v>1.2</v>
      </c>
      <c r="AT64" s="10">
        <v>1.3</v>
      </c>
      <c r="AU64" s="10">
        <v>1.35</v>
      </c>
      <c r="AV64" s="10">
        <v>1.38</v>
      </c>
      <c r="AW64" s="10">
        <v>1.1000000000000001</v>
      </c>
      <c r="AX64" s="10">
        <v>1.19</v>
      </c>
      <c r="AY64" s="10">
        <v>1.3</v>
      </c>
      <c r="AZ64" s="10">
        <v>1.19</v>
      </c>
      <c r="BA64" s="10">
        <v>0.8</v>
      </c>
      <c r="BB64" s="10">
        <v>1.21</v>
      </c>
      <c r="BC64" s="10">
        <v>1.38</v>
      </c>
      <c r="BD64" s="10">
        <v>1.39</v>
      </c>
      <c r="BE64" s="10">
        <v>1.45</v>
      </c>
      <c r="BF64" s="10">
        <v>1.39</v>
      </c>
      <c r="BG64" s="10">
        <v>1.4</v>
      </c>
      <c r="BH64" s="10">
        <v>1.45</v>
      </c>
      <c r="BI64" s="10">
        <v>1.42</v>
      </c>
      <c r="BJ64" s="10">
        <v>1.48</v>
      </c>
      <c r="BK64" s="10">
        <v>1.37</v>
      </c>
      <c r="BL64" s="10">
        <v>1.35</v>
      </c>
      <c r="BM64" s="10">
        <v>1.42</v>
      </c>
      <c r="BN64" s="10">
        <v>1.42</v>
      </c>
      <c r="BO64" s="10">
        <v>1.37</v>
      </c>
      <c r="BP64" s="10">
        <v>1.29</v>
      </c>
      <c r="BQ64" s="10">
        <v>1.33</v>
      </c>
      <c r="BR64" s="10">
        <v>1.4</v>
      </c>
      <c r="BS64" s="10">
        <v>1.62</v>
      </c>
      <c r="BT64" s="10">
        <v>1.2</v>
      </c>
      <c r="BU64" s="10">
        <v>0.92</v>
      </c>
      <c r="BV64" s="10">
        <v>1.05</v>
      </c>
      <c r="BW64" s="10">
        <v>1.35</v>
      </c>
      <c r="BX64" s="10">
        <v>1.1399999999999999</v>
      </c>
      <c r="BY64" s="10">
        <v>1.21</v>
      </c>
      <c r="BZ64" s="10">
        <v>1.23</v>
      </c>
      <c r="CA64" s="10">
        <v>1.29</v>
      </c>
      <c r="CB64" s="10">
        <v>1.1100000000000001</v>
      </c>
      <c r="CD64" s="3" t="s">
        <v>115</v>
      </c>
    </row>
    <row r="65" spans="1:82" x14ac:dyDescent="0.2">
      <c r="A65" s="38"/>
      <c r="B65" s="31"/>
      <c r="C65" s="36"/>
      <c r="D65" s="5"/>
      <c r="E65" s="5"/>
      <c r="F65" s="1"/>
      <c r="G65" s="1"/>
      <c r="H65" s="1"/>
      <c r="I65" s="1"/>
      <c r="J65" s="1"/>
      <c r="K65" s="1"/>
      <c r="L65" s="1"/>
      <c r="M65" s="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38"/>
      <c r="CD65" s="32"/>
    </row>
    <row r="66" spans="1:82" x14ac:dyDescent="0.2">
      <c r="B66" s="33" t="s">
        <v>97</v>
      </c>
      <c r="C66" s="36">
        <f>SUM(D66:CB66)</f>
        <v>1092642498.1900003</v>
      </c>
      <c r="D66" s="44">
        <v>170606055.99000001</v>
      </c>
      <c r="E66" s="44">
        <v>18410788.009999998</v>
      </c>
      <c r="F66" s="44">
        <v>2596921.8600000003</v>
      </c>
      <c r="G66" s="44">
        <v>2246591.04</v>
      </c>
      <c r="H66" s="44">
        <v>14486173.01</v>
      </c>
      <c r="I66" s="44">
        <v>20703579.25</v>
      </c>
      <c r="J66" s="44">
        <v>7429190.1499999994</v>
      </c>
      <c r="K66" s="44">
        <v>2074826.37</v>
      </c>
      <c r="L66" s="44">
        <v>4404782.0199999996</v>
      </c>
      <c r="M66" s="44">
        <v>2514123.23</v>
      </c>
      <c r="N66" s="44">
        <v>5087972.9700000007</v>
      </c>
      <c r="O66" s="44">
        <v>17169816.099999998</v>
      </c>
      <c r="P66" s="44">
        <v>14558088.710000001</v>
      </c>
      <c r="Q66" s="44">
        <v>14494766.209999999</v>
      </c>
      <c r="R66" s="44">
        <v>6846245.1600000001</v>
      </c>
      <c r="S66" s="44">
        <v>9115357.6300000008</v>
      </c>
      <c r="T66" s="44">
        <v>16453331.43</v>
      </c>
      <c r="U66" s="44">
        <v>10170097.41</v>
      </c>
      <c r="V66" s="44">
        <v>12147517.470000001</v>
      </c>
      <c r="W66" s="44">
        <v>13516443.110000001</v>
      </c>
      <c r="X66" s="44">
        <v>20191665.68</v>
      </c>
      <c r="Y66" s="44">
        <v>8406878.1099999994</v>
      </c>
      <c r="Z66" s="44">
        <v>4134922.1</v>
      </c>
      <c r="AA66" s="44">
        <v>22354536.379999999</v>
      </c>
      <c r="AB66" s="44">
        <v>2940031.8899999997</v>
      </c>
      <c r="AC66" s="44">
        <v>16985175.850000001</v>
      </c>
      <c r="AD66" s="44">
        <v>3946157.0599999996</v>
      </c>
      <c r="AE66" s="44">
        <v>10576139.34</v>
      </c>
      <c r="AF66" s="44">
        <v>6351614.9800000004</v>
      </c>
      <c r="AG66" s="44">
        <v>13126229.120000001</v>
      </c>
      <c r="AH66" s="44">
        <v>25970610.640000001</v>
      </c>
      <c r="AI66" s="44">
        <v>9288738.4800000004</v>
      </c>
      <c r="AJ66" s="44">
        <v>8938682.8300000001</v>
      </c>
      <c r="AK66" s="44">
        <v>12180587.329999998</v>
      </c>
      <c r="AL66" s="44">
        <v>8708874.6499999985</v>
      </c>
      <c r="AM66" s="44">
        <v>14363196.439999998</v>
      </c>
      <c r="AN66" s="44">
        <v>2358973.58</v>
      </c>
      <c r="AO66" s="44">
        <v>15222515.92</v>
      </c>
      <c r="AP66" s="44">
        <v>8464155</v>
      </c>
      <c r="AQ66" s="44">
        <v>11211388.040000001</v>
      </c>
      <c r="AR66" s="44">
        <v>5771134.3899999997</v>
      </c>
      <c r="AS66" s="44">
        <v>4660523.1199999992</v>
      </c>
      <c r="AT66" s="44">
        <v>4337116.2300000004</v>
      </c>
      <c r="AU66" s="44">
        <v>6588719.4399999995</v>
      </c>
      <c r="AV66" s="44">
        <v>5403379.0099999998</v>
      </c>
      <c r="AW66" s="44">
        <v>9053381.1600000001</v>
      </c>
      <c r="AX66" s="44">
        <v>11840221.15</v>
      </c>
      <c r="AY66" s="44">
        <v>12293895.09</v>
      </c>
      <c r="AZ66" s="44">
        <v>8906967.5299999993</v>
      </c>
      <c r="BA66" s="44">
        <v>102869228.95</v>
      </c>
      <c r="BB66" s="44">
        <v>19123279.98</v>
      </c>
      <c r="BC66" s="44">
        <v>5208153.2</v>
      </c>
      <c r="BD66" s="44">
        <v>6008567.75</v>
      </c>
      <c r="BE66" s="44">
        <v>8054790.5799999991</v>
      </c>
      <c r="BF66" s="44">
        <v>14642404.199999999</v>
      </c>
      <c r="BG66" s="44">
        <v>3364814.71</v>
      </c>
      <c r="BH66" s="44">
        <v>2006935.02</v>
      </c>
      <c r="BI66" s="44">
        <v>5567646.0900000008</v>
      </c>
      <c r="BJ66" s="44">
        <v>1353865.5</v>
      </c>
      <c r="BK66" s="44">
        <v>7932244.9200000009</v>
      </c>
      <c r="BL66" s="44">
        <v>2520386.65</v>
      </c>
      <c r="BM66" s="44">
        <v>4345073.54</v>
      </c>
      <c r="BN66" s="44">
        <v>15918027</v>
      </c>
      <c r="BO66" s="44">
        <v>7171819.2699999996</v>
      </c>
      <c r="BP66" s="44">
        <v>12601240.289999999</v>
      </c>
      <c r="BQ66" s="44">
        <v>23887299.990000002</v>
      </c>
      <c r="BR66" s="44">
        <v>18590665.170000002</v>
      </c>
      <c r="BS66" s="44">
        <v>6410835.9500000002</v>
      </c>
      <c r="BT66" s="44">
        <v>57411290.940000005</v>
      </c>
      <c r="BU66" s="44">
        <v>14077426.130000001</v>
      </c>
      <c r="BV66" s="44">
        <v>10008062.359999999</v>
      </c>
      <c r="BW66" s="44">
        <v>2843040.83</v>
      </c>
      <c r="BX66" s="44">
        <v>6419895.2199999997</v>
      </c>
      <c r="BY66" s="44">
        <v>40415482.390000001</v>
      </c>
      <c r="BZ66" s="44">
        <v>4644968.29</v>
      </c>
      <c r="CA66" s="44">
        <v>7083569.5800000001</v>
      </c>
      <c r="CB66" s="44">
        <v>22552406.02</v>
      </c>
      <c r="CD66" s="3" t="s">
        <v>115</v>
      </c>
    </row>
    <row r="67" spans="1:82" x14ac:dyDescent="0.2">
      <c r="B67" s="33" t="s">
        <v>89</v>
      </c>
      <c r="C67" s="36">
        <f t="shared" ref="C67:C70" si="27">SUM(D67:CB67)</f>
        <v>6888282.9073934862</v>
      </c>
      <c r="D67" s="44">
        <v>1192317.8564454615</v>
      </c>
      <c r="E67" s="44">
        <v>242252.88283752862</v>
      </c>
      <c r="F67" s="44">
        <v>-554.85217391304343</v>
      </c>
      <c r="G67" s="44">
        <v>1784.0521739130436</v>
      </c>
      <c r="H67" s="44">
        <v>-9401.5956848643345</v>
      </c>
      <c r="I67" s="44">
        <v>107730.7117794486</v>
      </c>
      <c r="J67" s="44">
        <v>7762.0996621989798</v>
      </c>
      <c r="K67" s="44">
        <v>1037.6695652173917</v>
      </c>
      <c r="L67" s="44">
        <v>-2892.3999999999996</v>
      </c>
      <c r="M67" s="44">
        <v>-2900.1043478260867</v>
      </c>
      <c r="N67" s="44">
        <v>-2240.109556499945</v>
      </c>
      <c r="O67" s="44">
        <v>56382.836417129765</v>
      </c>
      <c r="P67" s="44">
        <v>243983.93257055682</v>
      </c>
      <c r="Q67" s="44">
        <v>50192.87342268716</v>
      </c>
      <c r="R67" s="44">
        <v>-2522.7827830445749</v>
      </c>
      <c r="S67" s="44">
        <v>146720.90005448402</v>
      </c>
      <c r="T67" s="44">
        <v>138409.36783262505</v>
      </c>
      <c r="U67" s="44">
        <v>80057.212858232553</v>
      </c>
      <c r="V67" s="44">
        <v>20322.614440993795</v>
      </c>
      <c r="W67" s="44">
        <v>66368.472986814857</v>
      </c>
      <c r="X67" s="44">
        <v>92898.25040863028</v>
      </c>
      <c r="Y67" s="44">
        <v>81911.906287457779</v>
      </c>
      <c r="Z67" s="44">
        <v>18989.225629290617</v>
      </c>
      <c r="AA67" s="44">
        <v>144974.02020268061</v>
      </c>
      <c r="AB67" s="44">
        <v>33394.321739130428</v>
      </c>
      <c r="AC67" s="44">
        <v>265356.683800534</v>
      </c>
      <c r="AD67" s="44">
        <v>24247.139130434785</v>
      </c>
      <c r="AE67" s="44">
        <v>30742.788100686503</v>
      </c>
      <c r="AF67" s="44">
        <v>9870.4283970796569</v>
      </c>
      <c r="AG67" s="44">
        <v>5186.7682902909582</v>
      </c>
      <c r="AH67" s="44">
        <v>133114.58467908902</v>
      </c>
      <c r="AI67" s="44">
        <v>-4918.4924485125812</v>
      </c>
      <c r="AJ67" s="44">
        <v>152152.10321455813</v>
      </c>
      <c r="AK67" s="44">
        <v>89437.109730848868</v>
      </c>
      <c r="AL67" s="44">
        <v>30285.676735316556</v>
      </c>
      <c r="AM67" s="44">
        <v>95216.532112890927</v>
      </c>
      <c r="AN67" s="44">
        <v>5843.8434782608692</v>
      </c>
      <c r="AO67" s="44">
        <v>39149.419221967961</v>
      </c>
      <c r="AP67" s="44">
        <v>47414.371820856482</v>
      </c>
      <c r="AQ67" s="44">
        <v>93912.505110602593</v>
      </c>
      <c r="AR67" s="44">
        <v>34495.915593331163</v>
      </c>
      <c r="AS67" s="44">
        <v>14460.008695652174</v>
      </c>
      <c r="AT67" s="44">
        <v>24183.556521739134</v>
      </c>
      <c r="AU67" s="44">
        <v>25447.425019069407</v>
      </c>
      <c r="AV67" s="44">
        <v>12722.951966873705</v>
      </c>
      <c r="AW67" s="44">
        <v>71884.069565217404</v>
      </c>
      <c r="AX67" s="44">
        <v>40961.578620464206</v>
      </c>
      <c r="AY67" s="44">
        <v>69120.574654026364</v>
      </c>
      <c r="AZ67" s="44">
        <v>-297.63125204314565</v>
      </c>
      <c r="BA67" s="44">
        <v>159680.55680505614</v>
      </c>
      <c r="BB67" s="44">
        <v>19219.607388035307</v>
      </c>
      <c r="BC67" s="44">
        <v>59192.138193309351</v>
      </c>
      <c r="BD67" s="44">
        <v>30446.208695652174</v>
      </c>
      <c r="BE67" s="44">
        <v>29951.642759071598</v>
      </c>
      <c r="BF67" s="44">
        <v>50342.236155606442</v>
      </c>
      <c r="BG67" s="44">
        <v>27029.193788819874</v>
      </c>
      <c r="BH67" s="44">
        <v>9101.870393374742</v>
      </c>
      <c r="BI67" s="44">
        <v>35510.189016018303</v>
      </c>
      <c r="BJ67" s="44">
        <v>4481.7739130434784</v>
      </c>
      <c r="BK67" s="44">
        <v>49201.7528604119</v>
      </c>
      <c r="BL67" s="44">
        <v>21107.843064182194</v>
      </c>
      <c r="BM67" s="44">
        <v>-26431.573913043481</v>
      </c>
      <c r="BN67" s="44">
        <v>42004.379710144931</v>
      </c>
      <c r="BO67" s="44">
        <v>14496.5552795031</v>
      </c>
      <c r="BP67" s="44">
        <v>11507.921739130441</v>
      </c>
      <c r="BQ67" s="44">
        <v>670886.15963958832</v>
      </c>
      <c r="BR67" s="44">
        <v>23721.546169772264</v>
      </c>
      <c r="BS67" s="44">
        <v>44119.744164759722</v>
      </c>
      <c r="BT67" s="44">
        <v>1225339.1256524466</v>
      </c>
      <c r="BU67" s="44">
        <v>17989.980320366129</v>
      </c>
      <c r="BV67" s="44">
        <v>41436.375569358184</v>
      </c>
      <c r="BW67" s="44">
        <v>2570.2347826086962</v>
      </c>
      <c r="BX67" s="44">
        <v>12873.208695652173</v>
      </c>
      <c r="BY67" s="44">
        <v>67206.822781137656</v>
      </c>
      <c r="BZ67" s="44">
        <v>7873.5565217391304</v>
      </c>
      <c r="CA67" s="44">
        <v>32205.461697722567</v>
      </c>
      <c r="CB67" s="44">
        <v>188249.12202244741</v>
      </c>
      <c r="CD67" s="3" t="s">
        <v>115</v>
      </c>
    </row>
    <row r="68" spans="1:82" x14ac:dyDescent="0.2">
      <c r="B68" s="33" t="s">
        <v>98</v>
      </c>
      <c r="C68" s="36">
        <f t="shared" si="27"/>
        <v>1085754215.2826061</v>
      </c>
      <c r="D68" s="5">
        <f>D66-D67</f>
        <v>169413738.13355455</v>
      </c>
      <c r="E68" s="5">
        <f t="shared" ref="E68:BP68" si="28">E66-E67</f>
        <v>18168535.127162468</v>
      </c>
      <c r="F68" s="5">
        <f t="shared" si="28"/>
        <v>2597476.7121739136</v>
      </c>
      <c r="G68" s="5">
        <f t="shared" si="28"/>
        <v>2244806.987826087</v>
      </c>
      <c r="H68" s="5">
        <f t="shared" si="28"/>
        <v>14495574.605684863</v>
      </c>
      <c r="I68" s="5">
        <f t="shared" si="28"/>
        <v>20595848.538220551</v>
      </c>
      <c r="J68" s="5">
        <f t="shared" si="28"/>
        <v>7421428.0503378008</v>
      </c>
      <c r="K68" s="5">
        <f t="shared" si="28"/>
        <v>2073788.7004347828</v>
      </c>
      <c r="L68" s="5">
        <f t="shared" si="28"/>
        <v>4407674.42</v>
      </c>
      <c r="M68" s="5">
        <f t="shared" si="28"/>
        <v>2517023.334347826</v>
      </c>
      <c r="N68" s="5">
        <f t="shared" si="28"/>
        <v>5090213.0795565005</v>
      </c>
      <c r="O68" s="5">
        <f t="shared" si="28"/>
        <v>17113433.263582867</v>
      </c>
      <c r="P68" s="5">
        <f t="shared" si="28"/>
        <v>14314104.777429445</v>
      </c>
      <c r="Q68" s="5">
        <f t="shared" si="28"/>
        <v>14444573.336577311</v>
      </c>
      <c r="R68" s="5">
        <f t="shared" si="28"/>
        <v>6848767.9427830447</v>
      </c>
      <c r="S68" s="5">
        <f t="shared" si="28"/>
        <v>8968636.7299455162</v>
      </c>
      <c r="T68" s="5">
        <f t="shared" si="28"/>
        <v>16314922.062167374</v>
      </c>
      <c r="U68" s="5">
        <f t="shared" si="28"/>
        <v>10090040.197141768</v>
      </c>
      <c r="V68" s="5">
        <f t="shared" si="28"/>
        <v>12127194.855559006</v>
      </c>
      <c r="W68" s="5">
        <f t="shared" si="28"/>
        <v>13450074.637013186</v>
      </c>
      <c r="X68" s="5">
        <f t="shared" si="28"/>
        <v>20098767.429591369</v>
      </c>
      <c r="Y68" s="5">
        <f t="shared" si="28"/>
        <v>8324966.2037125416</v>
      </c>
      <c r="Z68" s="5">
        <f t="shared" si="28"/>
        <v>4115932.8743707095</v>
      </c>
      <c r="AA68" s="5">
        <f t="shared" si="28"/>
        <v>22209562.359797318</v>
      </c>
      <c r="AB68" s="5">
        <f t="shared" si="28"/>
        <v>2906637.568260869</v>
      </c>
      <c r="AC68" s="5">
        <f t="shared" si="28"/>
        <v>16719819.166199468</v>
      </c>
      <c r="AD68" s="5">
        <f t="shared" si="28"/>
        <v>3921909.9208695646</v>
      </c>
      <c r="AE68" s="5">
        <f t="shared" si="28"/>
        <v>10545396.551899314</v>
      </c>
      <c r="AF68" s="5">
        <f t="shared" si="28"/>
        <v>6341744.5516029205</v>
      </c>
      <c r="AG68" s="5">
        <f t="shared" si="28"/>
        <v>13121042.35170971</v>
      </c>
      <c r="AH68" s="5">
        <f t="shared" si="28"/>
        <v>25837496.055320911</v>
      </c>
      <c r="AI68" s="5">
        <f t="shared" si="28"/>
        <v>9293656.9724485129</v>
      </c>
      <c r="AJ68" s="5">
        <f t="shared" si="28"/>
        <v>8786530.7267854419</v>
      </c>
      <c r="AK68" s="5">
        <f t="shared" si="28"/>
        <v>12091150.220269149</v>
      </c>
      <c r="AL68" s="5">
        <f t="shared" si="28"/>
        <v>8678588.9732646812</v>
      </c>
      <c r="AM68" s="5">
        <f t="shared" si="28"/>
        <v>14267979.907887107</v>
      </c>
      <c r="AN68" s="5">
        <f t="shared" si="28"/>
        <v>2353129.736521739</v>
      </c>
      <c r="AO68" s="5">
        <f t="shared" si="28"/>
        <v>15183366.500778032</v>
      </c>
      <c r="AP68" s="5">
        <f t="shared" si="28"/>
        <v>8416740.6281791441</v>
      </c>
      <c r="AQ68" s="5">
        <f t="shared" si="28"/>
        <v>11117475.534889398</v>
      </c>
      <c r="AR68" s="5">
        <f t="shared" si="28"/>
        <v>5736638.4744066689</v>
      </c>
      <c r="AS68" s="5">
        <f t="shared" si="28"/>
        <v>4646063.1113043474</v>
      </c>
      <c r="AT68" s="5">
        <f t="shared" si="28"/>
        <v>4312932.6734782616</v>
      </c>
      <c r="AU68" s="5">
        <f t="shared" si="28"/>
        <v>6563272.0149809299</v>
      </c>
      <c r="AV68" s="5">
        <f t="shared" si="28"/>
        <v>5390656.0580331264</v>
      </c>
      <c r="AW68" s="5">
        <f t="shared" si="28"/>
        <v>8981497.0904347822</v>
      </c>
      <c r="AX68" s="5">
        <f t="shared" si="28"/>
        <v>11799259.571379537</v>
      </c>
      <c r="AY68" s="5">
        <f t="shared" si="28"/>
        <v>12224774.515345974</v>
      </c>
      <c r="AZ68" s="5">
        <f t="shared" si="28"/>
        <v>8907265.1612520423</v>
      </c>
      <c r="BA68" s="5">
        <f t="shared" si="28"/>
        <v>102709548.39319494</v>
      </c>
      <c r="BB68" s="5">
        <f t="shared" si="28"/>
        <v>19104060.372611966</v>
      </c>
      <c r="BC68" s="5">
        <f t="shared" si="28"/>
        <v>5148961.0618066909</v>
      </c>
      <c r="BD68" s="5">
        <f t="shared" si="28"/>
        <v>5978121.541304348</v>
      </c>
      <c r="BE68" s="5">
        <f t="shared" si="28"/>
        <v>8024838.9372409275</v>
      </c>
      <c r="BF68" s="5">
        <f t="shared" si="28"/>
        <v>14592061.963844392</v>
      </c>
      <c r="BG68" s="5">
        <f t="shared" si="28"/>
        <v>3337785.51621118</v>
      </c>
      <c r="BH68" s="5">
        <f t="shared" si="28"/>
        <v>1997833.1496066253</v>
      </c>
      <c r="BI68" s="5">
        <f t="shared" si="28"/>
        <v>5532135.9009839827</v>
      </c>
      <c r="BJ68" s="5">
        <f t="shared" si="28"/>
        <v>1349383.7260869564</v>
      </c>
      <c r="BK68" s="5">
        <f t="shared" si="28"/>
        <v>7883043.1671395889</v>
      </c>
      <c r="BL68" s="5">
        <f t="shared" si="28"/>
        <v>2499278.8069358179</v>
      </c>
      <c r="BM68" s="5">
        <f t="shared" si="28"/>
        <v>4371505.1139130434</v>
      </c>
      <c r="BN68" s="5">
        <f t="shared" si="28"/>
        <v>15876022.620289855</v>
      </c>
      <c r="BO68" s="5">
        <f t="shared" si="28"/>
        <v>7157322.7147204969</v>
      </c>
      <c r="BP68" s="5">
        <f t="shared" si="28"/>
        <v>12589732.368260868</v>
      </c>
      <c r="BQ68" s="5">
        <f t="shared" ref="BQ68:CB68" si="29">BQ66-BQ67</f>
        <v>23216413.830360413</v>
      </c>
      <c r="BR68" s="5">
        <f t="shared" si="29"/>
        <v>18566943.623830229</v>
      </c>
      <c r="BS68" s="5">
        <f t="shared" si="29"/>
        <v>6366716.2058352409</v>
      </c>
      <c r="BT68" s="5">
        <f t="shared" si="29"/>
        <v>56185951.814347558</v>
      </c>
      <c r="BU68" s="5">
        <f t="shared" si="29"/>
        <v>14059436.149679635</v>
      </c>
      <c r="BV68" s="5">
        <f t="shared" si="29"/>
        <v>9966625.9844306409</v>
      </c>
      <c r="BW68" s="5">
        <f t="shared" si="29"/>
        <v>2840470.5952173914</v>
      </c>
      <c r="BX68" s="5">
        <f t="shared" si="29"/>
        <v>6407022.0113043478</v>
      </c>
      <c r="BY68" s="5">
        <f t="shared" si="29"/>
        <v>40348275.567218862</v>
      </c>
      <c r="BZ68" s="5">
        <f t="shared" si="29"/>
        <v>4637094.7334782612</v>
      </c>
      <c r="CA68" s="5">
        <f t="shared" si="29"/>
        <v>7051364.1183022773</v>
      </c>
      <c r="CB68" s="5">
        <f t="shared" si="29"/>
        <v>22364156.897977553</v>
      </c>
    </row>
    <row r="69" spans="1:82" x14ac:dyDescent="0.2">
      <c r="B69" s="33"/>
      <c r="C69" s="36"/>
      <c r="D69" s="5"/>
      <c r="E69" s="5"/>
      <c r="F69" s="5"/>
      <c r="G69" s="5"/>
      <c r="H69" s="1"/>
      <c r="I69" s="1"/>
      <c r="J69" s="1"/>
      <c r="K69" s="1"/>
      <c r="L69" s="1"/>
      <c r="M69" s="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1:82" x14ac:dyDescent="0.2">
      <c r="B70" s="33" t="s">
        <v>99</v>
      </c>
      <c r="C70" s="36">
        <f t="shared" si="27"/>
        <v>1312269021.8735743</v>
      </c>
      <c r="D70" s="5">
        <f t="shared" ref="D70:AI70" si="30">D68*D64</f>
        <v>243955782.91231853</v>
      </c>
      <c r="E70" s="5">
        <f t="shared" si="30"/>
        <v>25254263.826755829</v>
      </c>
      <c r="F70" s="5">
        <f t="shared" si="30"/>
        <v>3298795.4244608702</v>
      </c>
      <c r="G70" s="5">
        <f t="shared" si="30"/>
        <v>3120281.7130782609</v>
      </c>
      <c r="H70" s="5">
        <f t="shared" si="30"/>
        <v>10871680.954263648</v>
      </c>
      <c r="I70" s="5">
        <f t="shared" si="30"/>
        <v>21419682.479749374</v>
      </c>
      <c r="J70" s="5">
        <f t="shared" si="30"/>
        <v>8831499.3799019828</v>
      </c>
      <c r="K70" s="5">
        <f t="shared" si="30"/>
        <v>2820352.6325913048</v>
      </c>
      <c r="L70" s="5">
        <f t="shared" si="30"/>
        <v>3614293.0243999995</v>
      </c>
      <c r="M70" s="5">
        <f t="shared" si="30"/>
        <v>3146279.1679347823</v>
      </c>
      <c r="N70" s="5">
        <f t="shared" si="30"/>
        <v>6871787.6574012758</v>
      </c>
      <c r="O70" s="5">
        <f t="shared" si="30"/>
        <v>17455701.928854525</v>
      </c>
      <c r="P70" s="5">
        <f t="shared" si="30"/>
        <v>20898592.975046989</v>
      </c>
      <c r="Q70" s="5">
        <f t="shared" si="30"/>
        <v>15022356.270040404</v>
      </c>
      <c r="R70" s="5">
        <f t="shared" si="30"/>
        <v>8834910.6461901274</v>
      </c>
      <c r="S70" s="5">
        <f t="shared" si="30"/>
        <v>10941736.810533529</v>
      </c>
      <c r="T70" s="5">
        <f t="shared" si="30"/>
        <v>14683429.855950637</v>
      </c>
      <c r="U70" s="5">
        <f t="shared" si="30"/>
        <v>9787338.991227515</v>
      </c>
      <c r="V70" s="5">
        <f t="shared" si="30"/>
        <v>9337940.0387804359</v>
      </c>
      <c r="W70" s="5">
        <f t="shared" si="30"/>
        <v>11970566.426941736</v>
      </c>
      <c r="X70" s="5">
        <f t="shared" si="30"/>
        <v>17284939.989448577</v>
      </c>
      <c r="Y70" s="5">
        <f t="shared" si="30"/>
        <v>9906709.7824179232</v>
      </c>
      <c r="Z70" s="5">
        <f t="shared" si="30"/>
        <v>5268394.0791945085</v>
      </c>
      <c r="AA70" s="5">
        <f t="shared" si="30"/>
        <v>30871291.68011827</v>
      </c>
      <c r="AB70" s="5">
        <f t="shared" si="30"/>
        <v>3865827.9657869558</v>
      </c>
      <c r="AC70" s="5">
        <f t="shared" si="30"/>
        <v>20398179.382763352</v>
      </c>
      <c r="AD70" s="5">
        <f t="shared" si="30"/>
        <v>5294578.3931739125</v>
      </c>
      <c r="AE70" s="5">
        <f t="shared" si="30"/>
        <v>10334488.620861327</v>
      </c>
      <c r="AF70" s="5">
        <f t="shared" si="30"/>
        <v>8815024.9267280586</v>
      </c>
      <c r="AG70" s="5">
        <f t="shared" si="30"/>
        <v>15745250.822051652</v>
      </c>
      <c r="AH70" s="5">
        <f t="shared" si="30"/>
        <v>30488245.345278673</v>
      </c>
      <c r="AI70" s="5">
        <f t="shared" si="30"/>
        <v>11617071.215560641</v>
      </c>
      <c r="AJ70" s="5">
        <f t="shared" ref="AJ70:BO70" si="31">AJ68*AJ64</f>
        <v>14058449.162856707</v>
      </c>
      <c r="AK70" s="5">
        <f t="shared" si="31"/>
        <v>17169433.312782191</v>
      </c>
      <c r="AL70" s="5">
        <f t="shared" si="31"/>
        <v>12497168.12150114</v>
      </c>
      <c r="AM70" s="5">
        <f t="shared" si="31"/>
        <v>14267979.907887107</v>
      </c>
      <c r="AN70" s="5">
        <f t="shared" si="31"/>
        <v>3506163.3074173913</v>
      </c>
      <c r="AO70" s="5">
        <f t="shared" si="31"/>
        <v>20193877.446034785</v>
      </c>
      <c r="AP70" s="5">
        <f t="shared" si="31"/>
        <v>12204273.910859758</v>
      </c>
      <c r="AQ70" s="5">
        <f t="shared" si="31"/>
        <v>14675067.706054006</v>
      </c>
      <c r="AR70" s="5">
        <f t="shared" si="31"/>
        <v>7170798.0930083357</v>
      </c>
      <c r="AS70" s="5">
        <f t="shared" si="31"/>
        <v>5575275.7335652169</v>
      </c>
      <c r="AT70" s="5">
        <f t="shared" si="31"/>
        <v>5606812.4755217405</v>
      </c>
      <c r="AU70" s="5">
        <f t="shared" si="31"/>
        <v>8860417.2202242557</v>
      </c>
      <c r="AV70" s="5">
        <f t="shared" si="31"/>
        <v>7439105.3600857137</v>
      </c>
      <c r="AW70" s="5">
        <f t="shared" si="31"/>
        <v>9879646.7994782608</v>
      </c>
      <c r="AX70" s="5">
        <f t="shared" si="31"/>
        <v>14041118.889941648</v>
      </c>
      <c r="AY70" s="5">
        <f t="shared" si="31"/>
        <v>15892206.869949767</v>
      </c>
      <c r="AZ70" s="5">
        <f t="shared" si="31"/>
        <v>10599645.54188993</v>
      </c>
      <c r="BA70" s="5">
        <f t="shared" si="31"/>
        <v>82167638.714555964</v>
      </c>
      <c r="BB70" s="5">
        <f t="shared" si="31"/>
        <v>23115913.050860479</v>
      </c>
      <c r="BC70" s="5">
        <f t="shared" si="31"/>
        <v>7105566.2652932331</v>
      </c>
      <c r="BD70" s="5">
        <f t="shared" si="31"/>
        <v>8309588.9424130432</v>
      </c>
      <c r="BE70" s="5">
        <f t="shared" si="31"/>
        <v>11636016.458999345</v>
      </c>
      <c r="BF70" s="5">
        <f t="shared" si="31"/>
        <v>20282966.129743703</v>
      </c>
      <c r="BG70" s="5">
        <f t="shared" si="31"/>
        <v>4672899.7226956515</v>
      </c>
      <c r="BH70" s="5">
        <f t="shared" si="31"/>
        <v>2896858.0669296067</v>
      </c>
      <c r="BI70" s="5">
        <f t="shared" si="31"/>
        <v>7855632.979397255</v>
      </c>
      <c r="BJ70" s="5">
        <f t="shared" si="31"/>
        <v>1997087.9146086955</v>
      </c>
      <c r="BK70" s="5">
        <f t="shared" si="31"/>
        <v>10799769.138981238</v>
      </c>
      <c r="BL70" s="5">
        <f t="shared" si="31"/>
        <v>3374026.3893633545</v>
      </c>
      <c r="BM70" s="5">
        <f t="shared" si="31"/>
        <v>6207537.2617565216</v>
      </c>
      <c r="BN70" s="5">
        <f t="shared" si="31"/>
        <v>22543952.120811593</v>
      </c>
      <c r="BO70" s="5">
        <f t="shared" si="31"/>
        <v>9805532.119167082</v>
      </c>
      <c r="BP70" s="5">
        <f t="shared" ref="BP70:CB70" si="32">BP68*BP64</f>
        <v>16240754.755056521</v>
      </c>
      <c r="BQ70" s="5">
        <f t="shared" si="32"/>
        <v>30877830.394379351</v>
      </c>
      <c r="BR70" s="5">
        <f t="shared" si="32"/>
        <v>25993721.073362321</v>
      </c>
      <c r="BS70" s="5">
        <f t="shared" si="32"/>
        <v>10314080.253453091</v>
      </c>
      <c r="BT70" s="5">
        <f t="shared" si="32"/>
        <v>67423142.177217066</v>
      </c>
      <c r="BU70" s="5">
        <f t="shared" si="32"/>
        <v>12934681.257705264</v>
      </c>
      <c r="BV70" s="5">
        <f t="shared" si="32"/>
        <v>10464957.283652173</v>
      </c>
      <c r="BW70" s="5">
        <f t="shared" si="32"/>
        <v>3834635.3035434787</v>
      </c>
      <c r="BX70" s="5">
        <f t="shared" si="32"/>
        <v>7304005.0928869555</v>
      </c>
      <c r="BY70" s="5">
        <f t="shared" si="32"/>
        <v>48821413.436334819</v>
      </c>
      <c r="BZ70" s="5">
        <f t="shared" si="32"/>
        <v>5703626.5221782615</v>
      </c>
      <c r="CA70" s="5">
        <f t="shared" si="32"/>
        <v>9096259.7126099374</v>
      </c>
      <c r="CB70" s="5">
        <f t="shared" si="32"/>
        <v>24824214.156755086</v>
      </c>
    </row>
    <row r="71" spans="1:82" x14ac:dyDescent="0.2">
      <c r="B71" s="33"/>
      <c r="C71" s="5"/>
      <c r="D71" s="5"/>
      <c r="E71" s="5"/>
      <c r="F71" s="5"/>
      <c r="G71" s="5"/>
      <c r="H71" s="1"/>
      <c r="I71" s="1"/>
      <c r="J71" s="1"/>
      <c r="K71" s="1"/>
      <c r="L71" s="1"/>
      <c r="M71" s="1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1:82" s="32" customFormat="1" x14ac:dyDescent="0.2">
      <c r="A72" s="21"/>
      <c r="B72" s="21" t="s">
        <v>92</v>
      </c>
      <c r="C72" s="15">
        <f t="shared" ref="C72:AH72" si="33">C68*$C64</f>
        <v>1312269021.8735743</v>
      </c>
      <c r="D72" s="15">
        <f t="shared" si="33"/>
        <v>204757575.24422756</v>
      </c>
      <c r="E72" s="15">
        <f t="shared" si="33"/>
        <v>21958934.613936946</v>
      </c>
      <c r="F72" s="15">
        <f t="shared" si="33"/>
        <v>3139373.6965936096</v>
      </c>
      <c r="G72" s="15">
        <f t="shared" si="33"/>
        <v>2713128.4675167087</v>
      </c>
      <c r="H72" s="15">
        <f t="shared" si="33"/>
        <v>17519704.958590765</v>
      </c>
      <c r="I72" s="15">
        <f t="shared" si="33"/>
        <v>24892644.795187052</v>
      </c>
      <c r="J72" s="15">
        <f t="shared" si="33"/>
        <v>8969718.9211344626</v>
      </c>
      <c r="K72" s="15">
        <f t="shared" si="33"/>
        <v>2506431.5949109076</v>
      </c>
      <c r="L72" s="15">
        <f t="shared" si="33"/>
        <v>5327222.7898881035</v>
      </c>
      <c r="M72" s="15">
        <f t="shared" si="33"/>
        <v>3042135.782210947</v>
      </c>
      <c r="N72" s="15">
        <f t="shared" si="33"/>
        <v>6152155.6582665872</v>
      </c>
      <c r="O72" s="15">
        <f t="shared" si="33"/>
        <v>20683712.771822151</v>
      </c>
      <c r="P72" s="15">
        <f t="shared" si="33"/>
        <v>17300376.098824542</v>
      </c>
      <c r="Q72" s="15">
        <f t="shared" si="33"/>
        <v>17458063.581026636</v>
      </c>
      <c r="R72" s="15">
        <f t="shared" si="33"/>
        <v>8277587.9502118267</v>
      </c>
      <c r="S72" s="15">
        <f t="shared" si="33"/>
        <v>10839713.06165424</v>
      </c>
      <c r="T72" s="15">
        <f t="shared" si="33"/>
        <v>19718612.661237862</v>
      </c>
      <c r="U72" s="15">
        <f t="shared" si="33"/>
        <v>12195068.638735954</v>
      </c>
      <c r="V72" s="15">
        <f t="shared" si="33"/>
        <v>14657223.437103985</v>
      </c>
      <c r="W72" s="15">
        <f t="shared" si="33"/>
        <v>16256088.200814208</v>
      </c>
      <c r="X72" s="15">
        <f t="shared" si="33"/>
        <v>24291860.445440952</v>
      </c>
      <c r="Y72" s="15">
        <f t="shared" si="33"/>
        <v>10061757.167051759</v>
      </c>
      <c r="Z72" s="15">
        <f t="shared" si="33"/>
        <v>4974616.8434095215</v>
      </c>
      <c r="AA72" s="15">
        <f t="shared" si="33"/>
        <v>26843018.67208996</v>
      </c>
      <c r="AB72" s="15">
        <f t="shared" si="33"/>
        <v>3513033.046479926</v>
      </c>
      <c r="AC72" s="15">
        <f t="shared" si="33"/>
        <v>20207981.175021935</v>
      </c>
      <c r="AD72" s="15">
        <f t="shared" si="33"/>
        <v>4740115.9703498688</v>
      </c>
      <c r="AE72" s="15">
        <f t="shared" si="33"/>
        <v>12745423.433449846</v>
      </c>
      <c r="AF72" s="15">
        <f t="shared" si="33"/>
        <v>7664787.1153214155</v>
      </c>
      <c r="AG72" s="15">
        <f t="shared" si="33"/>
        <v>15858411.756990656</v>
      </c>
      <c r="AH72" s="15">
        <f t="shared" si="33"/>
        <v>31227827.8075606</v>
      </c>
      <c r="AI72" s="15">
        <f t="shared" ref="AI72:BN72" si="34">AI68*$C64</f>
        <v>11232540.452711159</v>
      </c>
      <c r="AJ72" s="15">
        <f t="shared" si="34"/>
        <v>10619615.305384442</v>
      </c>
      <c r="AK72" s="15">
        <f t="shared" si="34"/>
        <v>14613659.011905506</v>
      </c>
      <c r="AL72" s="15">
        <f t="shared" si="34"/>
        <v>10489154.269803623</v>
      </c>
      <c r="AM72" s="15">
        <f t="shared" si="34"/>
        <v>17244628.456691172</v>
      </c>
      <c r="AN72" s="15">
        <f t="shared" si="34"/>
        <v>2844049.9831568771</v>
      </c>
      <c r="AO72" s="15">
        <f t="shared" si="34"/>
        <v>18350987.015544657</v>
      </c>
      <c r="AP72" s="15">
        <f t="shared" si="34"/>
        <v>10172677.974480033</v>
      </c>
      <c r="AQ72" s="15">
        <f t="shared" si="34"/>
        <v>13436852.043052273</v>
      </c>
      <c r="AR72" s="15">
        <f t="shared" si="34"/>
        <v>6933441.1542602396</v>
      </c>
      <c r="AS72" s="15">
        <f t="shared" si="34"/>
        <v>5615345.1755628875</v>
      </c>
      <c r="AT72" s="15">
        <f t="shared" si="34"/>
        <v>5212715.6046626559</v>
      </c>
      <c r="AU72" s="15">
        <f t="shared" si="34"/>
        <v>7932530.6097452696</v>
      </c>
      <c r="AV72" s="15">
        <f t="shared" si="34"/>
        <v>6515278.3686782476</v>
      </c>
      <c r="AW72" s="15">
        <f t="shared" si="34"/>
        <v>10855256.406955274</v>
      </c>
      <c r="AX72" s="15">
        <f t="shared" si="34"/>
        <v>14260872.855590457</v>
      </c>
      <c r="AY72" s="15">
        <f t="shared" si="34"/>
        <v>14775160.593507351</v>
      </c>
      <c r="AZ72" s="15">
        <f t="shared" si="34"/>
        <v>10765537.887119669</v>
      </c>
      <c r="BA72" s="15">
        <f t="shared" si="34"/>
        <v>124137264.87069868</v>
      </c>
      <c r="BB72" s="15">
        <f t="shared" si="34"/>
        <v>23089633.239375401</v>
      </c>
      <c r="BC72" s="15">
        <f t="shared" si="34"/>
        <v>6223159.9022468301</v>
      </c>
      <c r="BD72" s="15">
        <f t="shared" si="34"/>
        <v>7225303.4777367972</v>
      </c>
      <c r="BE72" s="15">
        <f t="shared" si="34"/>
        <v>9699016.0338683315</v>
      </c>
      <c r="BF72" s="15">
        <f t="shared" si="34"/>
        <v>17636321.932610258</v>
      </c>
      <c r="BG72" s="15">
        <f t="shared" si="34"/>
        <v>4034128.9703785852</v>
      </c>
      <c r="BH72" s="15">
        <f t="shared" si="34"/>
        <v>2414629.8639222868</v>
      </c>
      <c r="BI72" s="15">
        <f t="shared" si="34"/>
        <v>6686274.3570066206</v>
      </c>
      <c r="BJ72" s="15">
        <f t="shared" si="34"/>
        <v>1630898.0775205626</v>
      </c>
      <c r="BK72" s="15">
        <f t="shared" si="34"/>
        <v>9527638.2082816623</v>
      </c>
      <c r="BL72" s="15">
        <f t="shared" si="34"/>
        <v>3020689.3136614296</v>
      </c>
      <c r="BM72" s="15">
        <f t="shared" si="34"/>
        <v>5283507.6845240211</v>
      </c>
      <c r="BN72" s="15">
        <f t="shared" si="34"/>
        <v>19188148.092750274</v>
      </c>
      <c r="BO72" s="15">
        <f t="shared" ref="BO72:CB72" si="35">BO68*$C64</f>
        <v>8650514.7720150389</v>
      </c>
      <c r="BP72" s="15">
        <f t="shared" si="35"/>
        <v>15216257.554429628</v>
      </c>
      <c r="BQ72" s="15">
        <f t="shared" si="35"/>
        <v>28059923.912567336</v>
      </c>
      <c r="BR72" s="15">
        <f t="shared" si="35"/>
        <v>22440460.838628825</v>
      </c>
      <c r="BS72" s="15">
        <f t="shared" si="35"/>
        <v>7694968.4655872146</v>
      </c>
      <c r="BT72" s="15">
        <f t="shared" si="35"/>
        <v>67907711.517618671</v>
      </c>
      <c r="BU72" s="15">
        <f t="shared" si="35"/>
        <v>16992577.384958029</v>
      </c>
      <c r="BV72" s="15">
        <f t="shared" si="35"/>
        <v>12045907.211665118</v>
      </c>
      <c r="BW72" s="15">
        <f t="shared" si="35"/>
        <v>3433062.0293068551</v>
      </c>
      <c r="BX72" s="15">
        <f t="shared" si="35"/>
        <v>7743683.0449775457</v>
      </c>
      <c r="BY72" s="15">
        <f t="shared" si="35"/>
        <v>48765909.786588475</v>
      </c>
      <c r="BZ72" s="15">
        <f t="shared" si="35"/>
        <v>5604505.7754187519</v>
      </c>
      <c r="CA72" s="15">
        <f t="shared" si="35"/>
        <v>8522450.6284697689</v>
      </c>
      <c r="CB72" s="15">
        <f t="shared" si="35"/>
        <v>27029865.400888495</v>
      </c>
      <c r="CC72" s="21"/>
      <c r="CD72" s="21"/>
    </row>
    <row r="73" spans="1:82" x14ac:dyDescent="0.2">
      <c r="B73" s="33"/>
      <c r="C73" s="5"/>
      <c r="D73" s="5"/>
      <c r="E73" s="5"/>
      <c r="F73" s="5"/>
      <c r="G73" s="5"/>
      <c r="H73" s="1"/>
      <c r="I73" s="1"/>
      <c r="J73" s="1"/>
      <c r="K73" s="1"/>
      <c r="L73" s="1"/>
      <c r="M73" s="1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2" s="32" customFormat="1" x14ac:dyDescent="0.2">
      <c r="A74" s="25" t="s">
        <v>146</v>
      </c>
      <c r="B74" s="26" t="s">
        <v>0</v>
      </c>
      <c r="C74" s="16"/>
      <c r="D74" s="16"/>
      <c r="E74" s="16"/>
      <c r="F74" s="16"/>
      <c r="G74" s="16"/>
      <c r="H74" s="17"/>
      <c r="I74" s="17"/>
      <c r="J74" s="17"/>
      <c r="K74" s="17"/>
      <c r="L74" s="17"/>
      <c r="M74" s="17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27"/>
      <c r="CD74" s="35"/>
    </row>
    <row r="75" spans="1:82" x14ac:dyDescent="0.2">
      <c r="B75" s="30" t="s">
        <v>84</v>
      </c>
      <c r="C75" s="5">
        <f>SUM(D75:CB75)</f>
        <v>68617907.450000003</v>
      </c>
      <c r="D75" s="9">
        <v>14108203.800000001</v>
      </c>
      <c r="E75" s="9">
        <v>579864.05000000005</v>
      </c>
      <c r="F75" s="9">
        <v>59968.400000000009</v>
      </c>
      <c r="G75" s="9">
        <v>55806.1</v>
      </c>
      <c r="H75" s="9">
        <v>124163.55000000002</v>
      </c>
      <c r="I75" s="9">
        <v>840888.39999999991</v>
      </c>
      <c r="J75" s="9">
        <v>790457.15</v>
      </c>
      <c r="K75" s="9">
        <v>41057.549999999996</v>
      </c>
      <c r="L75" s="9">
        <v>66079.049999999988</v>
      </c>
      <c r="M75" s="9">
        <v>30105.649999999998</v>
      </c>
      <c r="N75" s="9">
        <v>64594.950000000004</v>
      </c>
      <c r="O75" s="9">
        <v>966871.64999999991</v>
      </c>
      <c r="P75" s="9">
        <v>2387159.2999999998</v>
      </c>
      <c r="Q75" s="9">
        <v>1985313.7999999998</v>
      </c>
      <c r="R75" s="9">
        <v>481927.85</v>
      </c>
      <c r="S75" s="9">
        <v>1677590.8000000003</v>
      </c>
      <c r="T75" s="9">
        <v>3342381.15</v>
      </c>
      <c r="U75" s="9">
        <v>613515</v>
      </c>
      <c r="V75" s="9">
        <v>2606481.5</v>
      </c>
      <c r="W75" s="9">
        <v>2053883.0000000002</v>
      </c>
      <c r="X75" s="9">
        <v>2719395.8</v>
      </c>
      <c r="Y75" s="9">
        <v>602381.85</v>
      </c>
      <c r="Z75" s="9">
        <v>222295.65000000002</v>
      </c>
      <c r="AA75" s="9">
        <v>2830596.25</v>
      </c>
      <c r="AB75" s="9">
        <v>106001.65</v>
      </c>
      <c r="AC75" s="9">
        <v>1717786.95</v>
      </c>
      <c r="AD75" s="9">
        <v>525006.89999999991</v>
      </c>
      <c r="AE75" s="9">
        <v>2905639.9</v>
      </c>
      <c r="AF75" s="9">
        <v>375330.75000000006</v>
      </c>
      <c r="AG75" s="9">
        <v>1226266.2</v>
      </c>
      <c r="AH75" s="9">
        <v>2887842.55</v>
      </c>
      <c r="AI75" s="9">
        <v>1134787.7500000002</v>
      </c>
      <c r="AJ75" s="9">
        <v>656190.20000000007</v>
      </c>
      <c r="AK75" s="9">
        <v>576427.99999999988</v>
      </c>
      <c r="AL75" s="9">
        <v>289919.55000000005</v>
      </c>
      <c r="AM75" s="9">
        <v>923788.5</v>
      </c>
      <c r="AN75" s="9">
        <v>290169.15000000002</v>
      </c>
      <c r="AO75" s="9">
        <v>375336.45000000007</v>
      </c>
      <c r="AP75" s="9">
        <v>378365.3</v>
      </c>
      <c r="AQ75" s="9">
        <v>512036.4</v>
      </c>
      <c r="AR75" s="9">
        <v>206538.15000000002</v>
      </c>
      <c r="AS75" s="9">
        <v>56288.55000000001</v>
      </c>
      <c r="AT75" s="9">
        <v>45319.44999999999</v>
      </c>
      <c r="AU75" s="9">
        <v>240537.4</v>
      </c>
      <c r="AV75" s="9">
        <v>173676</v>
      </c>
      <c r="AW75" s="9">
        <v>225872.15</v>
      </c>
      <c r="AX75" s="9">
        <v>283756.05000000005</v>
      </c>
      <c r="AY75" s="9">
        <v>476351.1</v>
      </c>
      <c r="AZ75" s="9">
        <v>239704.89999999997</v>
      </c>
      <c r="BA75" s="9">
        <v>2086514.4500000002</v>
      </c>
      <c r="BB75" s="9">
        <v>539766.05000000005</v>
      </c>
      <c r="BC75" s="9">
        <v>298772</v>
      </c>
      <c r="BD75" s="9">
        <v>89549.450000000012</v>
      </c>
      <c r="BE75" s="9">
        <v>190408.04999999996</v>
      </c>
      <c r="BF75" s="9">
        <v>506434.05000000005</v>
      </c>
      <c r="BG75" s="9">
        <v>126648.34999999999</v>
      </c>
      <c r="BH75" s="9">
        <v>38711.049999999996</v>
      </c>
      <c r="BI75" s="9">
        <v>167004.94999999998</v>
      </c>
      <c r="BJ75" s="9">
        <v>36674.1</v>
      </c>
      <c r="BK75" s="9">
        <v>318254.89999999997</v>
      </c>
      <c r="BL75" s="9">
        <v>108732.3</v>
      </c>
      <c r="BM75" s="9">
        <v>68505.649999999994</v>
      </c>
      <c r="BN75" s="9">
        <v>878665.25</v>
      </c>
      <c r="BO75" s="9">
        <v>318372.35000000009</v>
      </c>
      <c r="BP75" s="9">
        <v>456172.55000000005</v>
      </c>
      <c r="BQ75" s="9">
        <v>1243905.45</v>
      </c>
      <c r="BR75" s="9">
        <v>782050.95</v>
      </c>
      <c r="BS75" s="9">
        <v>273166.15000000008</v>
      </c>
      <c r="BT75" s="9">
        <v>1765745.35</v>
      </c>
      <c r="BU75" s="9">
        <v>213056.54999999996</v>
      </c>
      <c r="BV75" s="9">
        <v>291692.59999999998</v>
      </c>
      <c r="BW75" s="9">
        <v>102899.15000000001</v>
      </c>
      <c r="BX75" s="9">
        <v>65594.850000000006</v>
      </c>
      <c r="BY75" s="9">
        <v>1136726.8</v>
      </c>
      <c r="BZ75" s="9">
        <v>46441.5</v>
      </c>
      <c r="CA75" s="9">
        <v>151039.65</v>
      </c>
      <c r="CB75" s="9">
        <v>236480.75</v>
      </c>
      <c r="CD75" s="3" t="s">
        <v>115</v>
      </c>
    </row>
    <row r="76" spans="1:82" x14ac:dyDescent="0.2">
      <c r="B76" s="30" t="s">
        <v>89</v>
      </c>
      <c r="C76" s="5">
        <f t="shared" ref="C76:C83" si="36">SUM(D76:CB76)</f>
        <v>459527.9499999999</v>
      </c>
      <c r="D76" s="9">
        <v>44085.2</v>
      </c>
      <c r="E76" s="9">
        <v>2444.8500000000004</v>
      </c>
      <c r="F76" s="9">
        <v>38.4</v>
      </c>
      <c r="G76" s="9">
        <v>51.1</v>
      </c>
      <c r="H76" s="9">
        <v>120.14999999999999</v>
      </c>
      <c r="I76" s="9">
        <v>1747.75</v>
      </c>
      <c r="J76" s="9">
        <v>14741.699999999999</v>
      </c>
      <c r="K76" s="9">
        <v>19.75</v>
      </c>
      <c r="L76" s="9">
        <v>42.45</v>
      </c>
      <c r="M76" s="9">
        <v>32.15</v>
      </c>
      <c r="N76" s="9">
        <v>211.7</v>
      </c>
      <c r="O76" s="9">
        <v>4589.6499999999996</v>
      </c>
      <c r="P76" s="9">
        <v>60835.75</v>
      </c>
      <c r="Q76" s="9">
        <v>3260.8999999999996</v>
      </c>
      <c r="R76" s="9">
        <v>991.05000000000007</v>
      </c>
      <c r="S76" s="9">
        <v>17437.5</v>
      </c>
      <c r="T76" s="9">
        <v>18277.25</v>
      </c>
      <c r="U76" s="9">
        <v>8297.5499999999993</v>
      </c>
      <c r="V76" s="9">
        <v>2935.9</v>
      </c>
      <c r="W76" s="9">
        <v>21871.9</v>
      </c>
      <c r="X76" s="9">
        <v>4927.8500000000004</v>
      </c>
      <c r="Y76" s="9">
        <v>23217.599999999999</v>
      </c>
      <c r="Z76" s="9">
        <v>12074.2</v>
      </c>
      <c r="AA76" s="9">
        <v>14425.63</v>
      </c>
      <c r="AB76" s="9">
        <v>725.19999999999993</v>
      </c>
      <c r="AC76" s="9">
        <v>6064.5499999999993</v>
      </c>
      <c r="AD76" s="9">
        <v>17060.75</v>
      </c>
      <c r="AE76" s="9">
        <v>6684.56</v>
      </c>
      <c r="AF76" s="9">
        <v>3287.8</v>
      </c>
      <c r="AG76" s="9">
        <v>628.05000000000007</v>
      </c>
      <c r="AH76" s="9">
        <v>9617.1299999999992</v>
      </c>
      <c r="AI76" s="9">
        <v>10581.050000000001</v>
      </c>
      <c r="AJ76" s="9">
        <v>3520.7</v>
      </c>
      <c r="AK76" s="9">
        <v>9511.5499999999993</v>
      </c>
      <c r="AL76" s="9">
        <v>5549.8</v>
      </c>
      <c r="AM76" s="9">
        <v>3494.15</v>
      </c>
      <c r="AN76" s="9">
        <v>39.550000000000004</v>
      </c>
      <c r="AO76" s="9">
        <v>729.2</v>
      </c>
      <c r="AP76" s="9">
        <v>422.45000000000005</v>
      </c>
      <c r="AQ76" s="9">
        <v>1064.25</v>
      </c>
      <c r="AR76" s="9">
        <v>96</v>
      </c>
      <c r="AS76" s="9">
        <v>57.6</v>
      </c>
      <c r="AT76" s="9">
        <v>383.9</v>
      </c>
      <c r="AU76" s="9">
        <v>2706.7</v>
      </c>
      <c r="AV76" s="9">
        <v>1442.65</v>
      </c>
      <c r="AW76" s="9">
        <v>1211.5</v>
      </c>
      <c r="AX76" s="9">
        <v>647.29999999999995</v>
      </c>
      <c r="AY76" s="9">
        <v>10950.6</v>
      </c>
      <c r="AZ76" s="9">
        <v>165.95</v>
      </c>
      <c r="BA76" s="9">
        <v>3390.1499999999996</v>
      </c>
      <c r="BB76" s="9">
        <v>3618.6000000000004</v>
      </c>
      <c r="BC76" s="9">
        <v>1642.55</v>
      </c>
      <c r="BD76" s="9">
        <v>112.35</v>
      </c>
      <c r="BE76" s="9">
        <v>157.10000000000002</v>
      </c>
      <c r="BF76" s="9">
        <v>290.65000000000003</v>
      </c>
      <c r="BG76" s="9">
        <v>46372.700000000004</v>
      </c>
      <c r="BH76" s="9">
        <v>40.849999999999994</v>
      </c>
      <c r="BI76" s="9">
        <v>373.85</v>
      </c>
      <c r="BJ76" s="9">
        <v>28.900000000000002</v>
      </c>
      <c r="BK76" s="9">
        <v>273.55</v>
      </c>
      <c r="BL76" s="9">
        <v>48</v>
      </c>
      <c r="BM76" s="9">
        <v>86.949999999999989</v>
      </c>
      <c r="BN76" s="9">
        <v>6527.5</v>
      </c>
      <c r="BO76" s="9">
        <v>109.6</v>
      </c>
      <c r="BP76" s="9">
        <v>2401.1999999999998</v>
      </c>
      <c r="BQ76" s="9">
        <v>8698.5999999999985</v>
      </c>
      <c r="BR76" s="9">
        <v>7140.1</v>
      </c>
      <c r="BS76" s="9">
        <v>731.25</v>
      </c>
      <c r="BT76" s="9">
        <v>8519.35</v>
      </c>
      <c r="BU76" s="9">
        <v>5091.2299999999996</v>
      </c>
      <c r="BV76" s="9">
        <v>925.19999999999993</v>
      </c>
      <c r="BW76" s="9">
        <v>44.65</v>
      </c>
      <c r="BX76" s="9">
        <v>85.600000000000009</v>
      </c>
      <c r="BY76" s="9">
        <v>4060.2000000000003</v>
      </c>
      <c r="BZ76" s="9">
        <v>421.95</v>
      </c>
      <c r="CA76" s="9">
        <v>2129.6999999999998</v>
      </c>
      <c r="CB76" s="9">
        <v>2884.75</v>
      </c>
      <c r="CD76" s="3" t="s">
        <v>115</v>
      </c>
    </row>
    <row r="77" spans="1:82" s="32" customFormat="1" x14ac:dyDescent="0.2">
      <c r="A77" s="21"/>
      <c r="B77" s="32" t="s">
        <v>93</v>
      </c>
      <c r="C77" s="15">
        <f t="shared" si="36"/>
        <v>68158379.50000003</v>
      </c>
      <c r="D77" s="15">
        <f>D75-D76</f>
        <v>14064118.600000001</v>
      </c>
      <c r="E77" s="15">
        <f t="shared" ref="E77:BP77" si="37">E75-E76</f>
        <v>577419.20000000007</v>
      </c>
      <c r="F77" s="15">
        <f t="shared" si="37"/>
        <v>59930.000000000007</v>
      </c>
      <c r="G77" s="15">
        <f t="shared" si="37"/>
        <v>55755</v>
      </c>
      <c r="H77" s="15">
        <f t="shared" si="37"/>
        <v>124043.40000000002</v>
      </c>
      <c r="I77" s="15">
        <f t="shared" si="37"/>
        <v>839140.64999999991</v>
      </c>
      <c r="J77" s="15">
        <f t="shared" si="37"/>
        <v>775715.45000000007</v>
      </c>
      <c r="K77" s="15">
        <f t="shared" si="37"/>
        <v>41037.799999999996</v>
      </c>
      <c r="L77" s="15">
        <f t="shared" si="37"/>
        <v>66036.599999999991</v>
      </c>
      <c r="M77" s="15">
        <f t="shared" si="37"/>
        <v>30073.499999999996</v>
      </c>
      <c r="N77" s="15">
        <f t="shared" si="37"/>
        <v>64383.250000000007</v>
      </c>
      <c r="O77" s="15">
        <f t="shared" si="37"/>
        <v>962281.99999999988</v>
      </c>
      <c r="P77" s="15">
        <f t="shared" si="37"/>
        <v>2326323.5499999998</v>
      </c>
      <c r="Q77" s="15">
        <f t="shared" si="37"/>
        <v>1982052.9</v>
      </c>
      <c r="R77" s="15">
        <f t="shared" si="37"/>
        <v>480936.8</v>
      </c>
      <c r="S77" s="15">
        <f t="shared" si="37"/>
        <v>1660153.3000000003</v>
      </c>
      <c r="T77" s="15">
        <f t="shared" si="37"/>
        <v>3324103.9</v>
      </c>
      <c r="U77" s="15">
        <f t="shared" si="37"/>
        <v>605217.44999999995</v>
      </c>
      <c r="V77" s="15">
        <f t="shared" si="37"/>
        <v>2603545.6000000001</v>
      </c>
      <c r="W77" s="15">
        <f t="shared" si="37"/>
        <v>2032011.1000000003</v>
      </c>
      <c r="X77" s="15">
        <f t="shared" si="37"/>
        <v>2714467.9499999997</v>
      </c>
      <c r="Y77" s="15">
        <f t="shared" si="37"/>
        <v>579164.25</v>
      </c>
      <c r="Z77" s="15">
        <f t="shared" si="37"/>
        <v>210221.45</v>
      </c>
      <c r="AA77" s="15">
        <f t="shared" si="37"/>
        <v>2816170.62</v>
      </c>
      <c r="AB77" s="15">
        <f t="shared" si="37"/>
        <v>105276.45</v>
      </c>
      <c r="AC77" s="15">
        <f t="shared" si="37"/>
        <v>1711722.4</v>
      </c>
      <c r="AD77" s="15">
        <f t="shared" si="37"/>
        <v>507946.14999999991</v>
      </c>
      <c r="AE77" s="15">
        <f t="shared" si="37"/>
        <v>2898955.34</v>
      </c>
      <c r="AF77" s="15">
        <f t="shared" si="37"/>
        <v>372042.95000000007</v>
      </c>
      <c r="AG77" s="15">
        <f t="shared" si="37"/>
        <v>1225638.1499999999</v>
      </c>
      <c r="AH77" s="15">
        <f t="shared" si="37"/>
        <v>2878225.42</v>
      </c>
      <c r="AI77" s="15">
        <f t="shared" si="37"/>
        <v>1124206.7000000002</v>
      </c>
      <c r="AJ77" s="15">
        <f t="shared" si="37"/>
        <v>652669.50000000012</v>
      </c>
      <c r="AK77" s="15">
        <f t="shared" si="37"/>
        <v>566916.44999999984</v>
      </c>
      <c r="AL77" s="15">
        <f t="shared" si="37"/>
        <v>284369.75000000006</v>
      </c>
      <c r="AM77" s="15">
        <f t="shared" si="37"/>
        <v>920294.35</v>
      </c>
      <c r="AN77" s="15">
        <f t="shared" si="37"/>
        <v>290129.60000000003</v>
      </c>
      <c r="AO77" s="15">
        <f t="shared" si="37"/>
        <v>374607.25000000006</v>
      </c>
      <c r="AP77" s="15">
        <f t="shared" si="37"/>
        <v>377942.85</v>
      </c>
      <c r="AQ77" s="15">
        <f t="shared" si="37"/>
        <v>510972.15</v>
      </c>
      <c r="AR77" s="15">
        <f t="shared" si="37"/>
        <v>206442.15000000002</v>
      </c>
      <c r="AS77" s="15">
        <f t="shared" si="37"/>
        <v>56230.950000000012</v>
      </c>
      <c r="AT77" s="15">
        <f t="shared" si="37"/>
        <v>44935.549999999988</v>
      </c>
      <c r="AU77" s="15">
        <f t="shared" si="37"/>
        <v>237830.69999999998</v>
      </c>
      <c r="AV77" s="15">
        <f t="shared" si="37"/>
        <v>172233.35</v>
      </c>
      <c r="AW77" s="15">
        <f t="shared" si="37"/>
        <v>224660.65</v>
      </c>
      <c r="AX77" s="15">
        <f t="shared" si="37"/>
        <v>283108.75000000006</v>
      </c>
      <c r="AY77" s="15">
        <f t="shared" si="37"/>
        <v>465400.5</v>
      </c>
      <c r="AZ77" s="15">
        <f t="shared" si="37"/>
        <v>239538.94999999995</v>
      </c>
      <c r="BA77" s="15">
        <f t="shared" si="37"/>
        <v>2083124.3000000003</v>
      </c>
      <c r="BB77" s="15">
        <f t="shared" si="37"/>
        <v>536147.45000000007</v>
      </c>
      <c r="BC77" s="15">
        <f t="shared" si="37"/>
        <v>297129.45</v>
      </c>
      <c r="BD77" s="15">
        <f t="shared" si="37"/>
        <v>89437.1</v>
      </c>
      <c r="BE77" s="15">
        <f t="shared" si="37"/>
        <v>190250.94999999995</v>
      </c>
      <c r="BF77" s="15">
        <f t="shared" si="37"/>
        <v>506143.4</v>
      </c>
      <c r="BG77" s="15">
        <f t="shared" si="37"/>
        <v>80275.649999999994</v>
      </c>
      <c r="BH77" s="15">
        <f t="shared" si="37"/>
        <v>38670.199999999997</v>
      </c>
      <c r="BI77" s="15">
        <f t="shared" si="37"/>
        <v>166631.09999999998</v>
      </c>
      <c r="BJ77" s="15">
        <f t="shared" si="37"/>
        <v>36645.199999999997</v>
      </c>
      <c r="BK77" s="15">
        <f t="shared" si="37"/>
        <v>317981.34999999998</v>
      </c>
      <c r="BL77" s="15">
        <f t="shared" si="37"/>
        <v>108684.3</v>
      </c>
      <c r="BM77" s="15">
        <f t="shared" si="37"/>
        <v>68418.7</v>
      </c>
      <c r="BN77" s="15">
        <f t="shared" si="37"/>
        <v>872137.75</v>
      </c>
      <c r="BO77" s="15">
        <f t="shared" si="37"/>
        <v>318262.75000000012</v>
      </c>
      <c r="BP77" s="15">
        <f t="shared" si="37"/>
        <v>453771.35000000003</v>
      </c>
      <c r="BQ77" s="15">
        <f t="shared" ref="BQ77:CB77" si="38">BQ75-BQ76</f>
        <v>1235206.8499999999</v>
      </c>
      <c r="BR77" s="15">
        <f t="shared" si="38"/>
        <v>774910.85</v>
      </c>
      <c r="BS77" s="15">
        <f t="shared" si="38"/>
        <v>272434.90000000008</v>
      </c>
      <c r="BT77" s="15">
        <f t="shared" si="38"/>
        <v>1757226</v>
      </c>
      <c r="BU77" s="15">
        <f t="shared" si="38"/>
        <v>207965.31999999995</v>
      </c>
      <c r="BV77" s="15">
        <f t="shared" si="38"/>
        <v>290767.39999999997</v>
      </c>
      <c r="BW77" s="15">
        <f t="shared" si="38"/>
        <v>102854.50000000001</v>
      </c>
      <c r="BX77" s="15">
        <f t="shared" si="38"/>
        <v>65509.250000000007</v>
      </c>
      <c r="BY77" s="15">
        <f t="shared" si="38"/>
        <v>1132666.6000000001</v>
      </c>
      <c r="BZ77" s="15">
        <f t="shared" si="38"/>
        <v>46019.55</v>
      </c>
      <c r="CA77" s="15">
        <f t="shared" si="38"/>
        <v>148909.94999999998</v>
      </c>
      <c r="CB77" s="15">
        <f t="shared" si="38"/>
        <v>233596</v>
      </c>
      <c r="CC77" s="21"/>
      <c r="CD77" s="21"/>
    </row>
    <row r="78" spans="1:82" x14ac:dyDescent="0.2">
      <c r="B78" s="30"/>
      <c r="C78" s="5"/>
      <c r="D78" s="5"/>
      <c r="E78" s="5"/>
      <c r="F78" s="5"/>
      <c r="G78" s="5"/>
      <c r="H78" s="1"/>
      <c r="I78" s="1"/>
      <c r="J78" s="1"/>
      <c r="K78" s="1"/>
      <c r="L78" s="1"/>
      <c r="M78" s="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1:82" s="32" customFormat="1" x14ac:dyDescent="0.2">
      <c r="A79" s="25" t="s">
        <v>154</v>
      </c>
      <c r="B79" s="26" t="s">
        <v>1</v>
      </c>
      <c r="C79" s="16"/>
      <c r="D79" s="16"/>
      <c r="E79" s="16"/>
      <c r="F79" s="16"/>
      <c r="G79" s="16"/>
      <c r="H79" s="17"/>
      <c r="I79" s="17"/>
      <c r="J79" s="17"/>
      <c r="K79" s="17"/>
      <c r="L79" s="17"/>
      <c r="M79" s="17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27"/>
      <c r="CD79" s="35"/>
    </row>
    <row r="80" spans="1:82" x14ac:dyDescent="0.2">
      <c r="B80" s="30" t="s">
        <v>84</v>
      </c>
      <c r="C80" s="36">
        <f t="shared" si="36"/>
        <v>191712889.29999995</v>
      </c>
      <c r="D80" s="9">
        <v>45447441.75</v>
      </c>
      <c r="E80" s="9">
        <v>2520872.4</v>
      </c>
      <c r="F80" s="9">
        <v>33313.199999999997</v>
      </c>
      <c r="G80" s="9">
        <v>139009.35</v>
      </c>
      <c r="H80" s="9">
        <v>1097635.25</v>
      </c>
      <c r="I80" s="9">
        <v>2512198.1</v>
      </c>
      <c r="J80" s="9">
        <v>968618.15</v>
      </c>
      <c r="K80" s="9">
        <v>32833.599999999999</v>
      </c>
      <c r="L80" s="9">
        <v>717351.5</v>
      </c>
      <c r="M80" s="9">
        <v>54968.25</v>
      </c>
      <c r="N80" s="9">
        <v>149167.79999999999</v>
      </c>
      <c r="O80" s="9">
        <v>774754.9</v>
      </c>
      <c r="P80" s="9">
        <v>4329654.55</v>
      </c>
      <c r="Q80" s="9">
        <v>4521050.05</v>
      </c>
      <c r="R80" s="9">
        <v>981350.95</v>
      </c>
      <c r="S80" s="9">
        <v>1605063.4</v>
      </c>
      <c r="T80" s="9">
        <v>4633835.95</v>
      </c>
      <c r="U80" s="9">
        <v>1177419</v>
      </c>
      <c r="V80" s="9">
        <v>5158642.95</v>
      </c>
      <c r="W80" s="9">
        <v>1962168.1</v>
      </c>
      <c r="X80" s="9">
        <v>6669143.5</v>
      </c>
      <c r="Y80" s="9">
        <v>1744977.6</v>
      </c>
      <c r="Z80" s="9">
        <v>282421.09999999998</v>
      </c>
      <c r="AA80" s="9">
        <v>5709811.5999999996</v>
      </c>
      <c r="AB80" s="9">
        <v>72152.45</v>
      </c>
      <c r="AC80" s="9">
        <v>3204056.5</v>
      </c>
      <c r="AD80" s="9">
        <v>769378.1</v>
      </c>
      <c r="AE80" s="9">
        <v>5840576.3499999996</v>
      </c>
      <c r="AF80" s="9">
        <v>479801.1</v>
      </c>
      <c r="AG80" s="9">
        <v>855914.05</v>
      </c>
      <c r="AH80" s="9">
        <v>7883207.7000000002</v>
      </c>
      <c r="AI80" s="9">
        <v>1186407.2</v>
      </c>
      <c r="AJ80" s="9">
        <v>628839.94999999995</v>
      </c>
      <c r="AK80" s="9">
        <v>1439990.25</v>
      </c>
      <c r="AL80" s="9">
        <v>767488.45</v>
      </c>
      <c r="AM80" s="9">
        <v>1635792.7</v>
      </c>
      <c r="AN80" s="9">
        <v>113536.5</v>
      </c>
      <c r="AO80" s="9">
        <v>1556410.4</v>
      </c>
      <c r="AP80" s="9">
        <v>1965119.6</v>
      </c>
      <c r="AQ80" s="9">
        <v>790580.75</v>
      </c>
      <c r="AR80" s="9">
        <v>277944.25</v>
      </c>
      <c r="AS80" s="9">
        <v>92097.7</v>
      </c>
      <c r="AT80" s="9">
        <v>247610.45</v>
      </c>
      <c r="AU80" s="9">
        <v>649056.75</v>
      </c>
      <c r="AV80" s="9">
        <v>755848.7</v>
      </c>
      <c r="AW80" s="9">
        <v>537943.30000000005</v>
      </c>
      <c r="AX80" s="9">
        <v>715372.05</v>
      </c>
      <c r="AY80" s="9">
        <v>1835339.3</v>
      </c>
      <c r="AZ80" s="9">
        <v>843508.9</v>
      </c>
      <c r="BA80" s="9">
        <v>20747730.449999999</v>
      </c>
      <c r="BB80" s="9">
        <v>1980088.7</v>
      </c>
      <c r="BC80" s="9">
        <v>291202.55</v>
      </c>
      <c r="BD80" s="9">
        <v>453548.1</v>
      </c>
      <c r="BE80" s="9">
        <v>1265032.3500000001</v>
      </c>
      <c r="BF80" s="9">
        <v>2036240.55</v>
      </c>
      <c r="BG80" s="9">
        <v>258725.65</v>
      </c>
      <c r="BH80" s="9">
        <v>134809.85</v>
      </c>
      <c r="BI80" s="9">
        <v>427413.6</v>
      </c>
      <c r="BJ80" s="9">
        <v>40209.4</v>
      </c>
      <c r="BK80" s="9">
        <v>1168267.1499999999</v>
      </c>
      <c r="BL80" s="9">
        <v>206032.9</v>
      </c>
      <c r="BM80" s="9">
        <v>240210.45</v>
      </c>
      <c r="BN80" s="9">
        <v>2358920.5499999998</v>
      </c>
      <c r="BO80" s="9">
        <v>914052.9</v>
      </c>
      <c r="BP80" s="9">
        <v>782627.2</v>
      </c>
      <c r="BQ80" s="9">
        <v>3120818.5</v>
      </c>
      <c r="BR80" s="9">
        <v>2603957</v>
      </c>
      <c r="BS80" s="9">
        <v>1301908.3500000001</v>
      </c>
      <c r="BT80" s="9">
        <v>11440173.5</v>
      </c>
      <c r="BU80" s="9">
        <v>1048183.7</v>
      </c>
      <c r="BV80" s="9">
        <v>1935794.45</v>
      </c>
      <c r="BW80" s="9">
        <v>102350.8</v>
      </c>
      <c r="BX80" s="9">
        <v>353812.25</v>
      </c>
      <c r="BY80" s="9">
        <v>5912977.6500000004</v>
      </c>
      <c r="BZ80" s="9">
        <v>528034.35</v>
      </c>
      <c r="CA80" s="9">
        <v>403958.7</v>
      </c>
      <c r="CB80" s="9">
        <v>1288131.25</v>
      </c>
      <c r="CD80" s="3" t="s">
        <v>115</v>
      </c>
    </row>
    <row r="81" spans="1:82" x14ac:dyDescent="0.2">
      <c r="B81" s="30" t="s">
        <v>89</v>
      </c>
      <c r="C81" s="5">
        <f t="shared" si="36"/>
        <v>893318.65000000014</v>
      </c>
      <c r="D81" s="9">
        <v>452556.45000000007</v>
      </c>
      <c r="E81" s="9">
        <v>576.20000000000005</v>
      </c>
      <c r="F81" s="9">
        <v>5918.8</v>
      </c>
      <c r="G81" s="9">
        <v>13.75</v>
      </c>
      <c r="H81" s="9">
        <v>136.85</v>
      </c>
      <c r="I81" s="9">
        <v>10796.75</v>
      </c>
      <c r="J81" s="9">
        <v>1249.95</v>
      </c>
      <c r="K81" s="9">
        <v>43.85</v>
      </c>
      <c r="L81" s="9">
        <v>8248.4500000000007</v>
      </c>
      <c r="M81" s="9">
        <v>345.8</v>
      </c>
      <c r="N81" s="9">
        <v>55.1</v>
      </c>
      <c r="O81" s="9">
        <v>2058.85</v>
      </c>
      <c r="P81" s="9">
        <v>5388.95</v>
      </c>
      <c r="Q81" s="9">
        <v>4121.75</v>
      </c>
      <c r="R81" s="9">
        <v>9407.2000000000007</v>
      </c>
      <c r="S81" s="9">
        <v>12784.699999999999</v>
      </c>
      <c r="T81" s="9">
        <v>9931.7000000000007</v>
      </c>
      <c r="U81" s="9">
        <v>932.5</v>
      </c>
      <c r="V81" s="9">
        <v>1015.65</v>
      </c>
      <c r="W81" s="9">
        <v>9231.9</v>
      </c>
      <c r="X81" s="9">
        <v>16011.949999999999</v>
      </c>
      <c r="Y81" s="9">
        <v>6286.7999999999993</v>
      </c>
      <c r="Z81" s="9">
        <v>46.65</v>
      </c>
      <c r="AA81" s="9">
        <v>23736.450000000004</v>
      </c>
      <c r="AB81" s="9">
        <v>337.55</v>
      </c>
      <c r="AC81" s="9">
        <v>5723.1</v>
      </c>
      <c r="AD81" s="9">
        <v>9869.9</v>
      </c>
      <c r="AE81" s="9">
        <v>1155.9000000000001</v>
      </c>
      <c r="AF81" s="9">
        <v>411.55</v>
      </c>
      <c r="AG81" s="9">
        <v>112.3</v>
      </c>
      <c r="AH81" s="9">
        <v>66410.899999999994</v>
      </c>
      <c r="AI81" s="9">
        <v>-896.35</v>
      </c>
      <c r="AJ81" s="9">
        <v>4233.05</v>
      </c>
      <c r="AK81" s="9">
        <v>1280.0999999999999</v>
      </c>
      <c r="AL81" s="9">
        <v>118.7</v>
      </c>
      <c r="AM81" s="9">
        <v>605.34999999999991</v>
      </c>
      <c r="AN81" s="9">
        <v>24.1</v>
      </c>
      <c r="AO81" s="9">
        <v>2065.75</v>
      </c>
      <c r="AP81" s="9">
        <v>3871.7500000000005</v>
      </c>
      <c r="AQ81" s="9">
        <v>932.85</v>
      </c>
      <c r="AR81" s="9">
        <v>710.2</v>
      </c>
      <c r="AS81" s="9">
        <v>971.35</v>
      </c>
      <c r="AT81" s="9">
        <v>14935.499999999998</v>
      </c>
      <c r="AU81" s="9">
        <v>673.75</v>
      </c>
      <c r="AV81" s="9">
        <v>2670.85</v>
      </c>
      <c r="AW81" s="9">
        <v>91.6</v>
      </c>
      <c r="AX81" s="9">
        <v>89.5</v>
      </c>
      <c r="AY81" s="9">
        <v>14541.75</v>
      </c>
      <c r="AZ81" s="9">
        <v>373.65</v>
      </c>
      <c r="BA81" s="9">
        <v>14320.900000000001</v>
      </c>
      <c r="BB81" s="9">
        <v>1352.8</v>
      </c>
      <c r="BC81" s="9">
        <v>65.2</v>
      </c>
      <c r="BD81" s="9">
        <v>90.55</v>
      </c>
      <c r="BE81" s="9">
        <v>1906.1000000000001</v>
      </c>
      <c r="BF81" s="9">
        <v>1210.3500000000001</v>
      </c>
      <c r="BG81" s="9">
        <v>905.5</v>
      </c>
      <c r="BH81" s="9">
        <v>331.6</v>
      </c>
      <c r="BI81" s="9">
        <v>38.25</v>
      </c>
      <c r="BJ81" s="9">
        <v>31.9</v>
      </c>
      <c r="BK81" s="9">
        <v>-169.79999999999998</v>
      </c>
      <c r="BL81" s="9">
        <v>652.94999999999993</v>
      </c>
      <c r="BM81" s="9">
        <v>21.05</v>
      </c>
      <c r="BN81" s="9">
        <v>2566.1999999999998</v>
      </c>
      <c r="BO81" s="9">
        <v>498</v>
      </c>
      <c r="BP81" s="9">
        <v>2431.35</v>
      </c>
      <c r="BQ81" s="9">
        <v>25034.05</v>
      </c>
      <c r="BR81" s="9">
        <v>1622.45</v>
      </c>
      <c r="BS81" s="9">
        <v>729.85</v>
      </c>
      <c r="BT81" s="9">
        <v>97914.700000000012</v>
      </c>
      <c r="BU81" s="9">
        <v>888.34999999999945</v>
      </c>
      <c r="BV81" s="9">
        <v>6479.9</v>
      </c>
      <c r="BW81" s="9">
        <v>13.2</v>
      </c>
      <c r="BX81" s="9">
        <v>364</v>
      </c>
      <c r="BY81" s="9">
        <v>18781.05</v>
      </c>
      <c r="BZ81" s="9">
        <v>59.3</v>
      </c>
      <c r="CA81" s="9">
        <v>314.3</v>
      </c>
      <c r="CB81" s="9">
        <v>2652.9500000000003</v>
      </c>
      <c r="CD81" s="3" t="s">
        <v>115</v>
      </c>
    </row>
    <row r="82" spans="1:82" x14ac:dyDescent="0.2">
      <c r="B82" s="30" t="s">
        <v>90</v>
      </c>
      <c r="C82" s="5">
        <f t="shared" si="36"/>
        <v>388668.25</v>
      </c>
      <c r="D82" s="12">
        <v>73638.100000000006</v>
      </c>
      <c r="E82" s="12">
        <v>0</v>
      </c>
      <c r="F82" s="12">
        <v>0</v>
      </c>
      <c r="G82" s="12">
        <v>0</v>
      </c>
      <c r="H82" s="9">
        <v>0</v>
      </c>
      <c r="I82" s="9">
        <v>0</v>
      </c>
      <c r="J82" s="9">
        <v>0</v>
      </c>
      <c r="K82" s="9">
        <v>0</v>
      </c>
      <c r="L82" s="9">
        <v>538.1</v>
      </c>
      <c r="M82" s="9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23519.35</v>
      </c>
      <c r="U82" s="12">
        <v>823.65</v>
      </c>
      <c r="V82" s="12">
        <v>259.35000000000002</v>
      </c>
      <c r="W82" s="12">
        <v>0</v>
      </c>
      <c r="X82" s="12">
        <v>5312.35</v>
      </c>
      <c r="Y82" s="12">
        <v>0</v>
      </c>
      <c r="Z82" s="12">
        <v>0</v>
      </c>
      <c r="AA82" s="12">
        <v>0</v>
      </c>
      <c r="AB82" s="12">
        <v>0</v>
      </c>
      <c r="AC82" s="12">
        <v>1213.1500000000001</v>
      </c>
      <c r="AD82" s="12">
        <v>0</v>
      </c>
      <c r="AE82" s="12">
        <v>18023.7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1754</v>
      </c>
      <c r="AL82" s="12">
        <v>12669.75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23119</v>
      </c>
      <c r="BB82" s="12">
        <v>0</v>
      </c>
      <c r="BC82" s="12">
        <v>0</v>
      </c>
      <c r="BD82" s="12">
        <v>0</v>
      </c>
      <c r="BE82" s="12">
        <v>0</v>
      </c>
      <c r="BF82" s="12">
        <v>171352.7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42110.1</v>
      </c>
      <c r="BP82" s="12">
        <v>0</v>
      </c>
      <c r="BQ82" s="12">
        <v>3389</v>
      </c>
      <c r="BR82" s="12">
        <v>0</v>
      </c>
      <c r="BS82" s="12">
        <v>0</v>
      </c>
      <c r="BT82" s="12">
        <v>443.05</v>
      </c>
      <c r="BU82" s="12">
        <v>0</v>
      </c>
      <c r="BV82" s="12">
        <v>2674.2</v>
      </c>
      <c r="BW82" s="12">
        <v>0</v>
      </c>
      <c r="BX82" s="12">
        <v>0</v>
      </c>
      <c r="BY82" s="12">
        <v>7828.7</v>
      </c>
      <c r="BZ82" s="12">
        <v>0</v>
      </c>
      <c r="CA82" s="12">
        <v>0</v>
      </c>
      <c r="CB82" s="12">
        <v>0</v>
      </c>
      <c r="CD82" s="38"/>
    </row>
    <row r="83" spans="1:82" s="32" customFormat="1" x14ac:dyDescent="0.2">
      <c r="A83" s="21"/>
      <c r="B83" s="32" t="s">
        <v>93</v>
      </c>
      <c r="C83" s="15">
        <f t="shared" si="36"/>
        <v>190430902.40000004</v>
      </c>
      <c r="D83" s="15">
        <f>D80-D81-D82</f>
        <v>44921247.199999996</v>
      </c>
      <c r="E83" s="15">
        <f t="shared" ref="E83:BP83" si="39">E80-E81-E82</f>
        <v>2520296.1999999997</v>
      </c>
      <c r="F83" s="15">
        <f t="shared" si="39"/>
        <v>27394.399999999998</v>
      </c>
      <c r="G83" s="15">
        <f t="shared" si="39"/>
        <v>138995.6</v>
      </c>
      <c r="H83" s="15">
        <f t="shared" si="39"/>
        <v>1097498.3999999999</v>
      </c>
      <c r="I83" s="15">
        <f t="shared" si="39"/>
        <v>2501401.35</v>
      </c>
      <c r="J83" s="15">
        <f t="shared" si="39"/>
        <v>967368.20000000007</v>
      </c>
      <c r="K83" s="15">
        <f t="shared" si="39"/>
        <v>32789.75</v>
      </c>
      <c r="L83" s="15">
        <f t="shared" si="39"/>
        <v>708564.95000000007</v>
      </c>
      <c r="M83" s="15">
        <f t="shared" si="39"/>
        <v>54622.45</v>
      </c>
      <c r="N83" s="15">
        <f t="shared" si="39"/>
        <v>149112.69999999998</v>
      </c>
      <c r="O83" s="15">
        <f t="shared" si="39"/>
        <v>772696.05</v>
      </c>
      <c r="P83" s="15">
        <f t="shared" si="39"/>
        <v>4324265.5999999996</v>
      </c>
      <c r="Q83" s="15">
        <f t="shared" si="39"/>
        <v>4516928.3</v>
      </c>
      <c r="R83" s="15">
        <f t="shared" si="39"/>
        <v>971943.75</v>
      </c>
      <c r="S83" s="15">
        <f t="shared" si="39"/>
        <v>1592278.7</v>
      </c>
      <c r="T83" s="15">
        <f t="shared" si="39"/>
        <v>4600384.9000000004</v>
      </c>
      <c r="U83" s="15">
        <f t="shared" si="39"/>
        <v>1175662.8500000001</v>
      </c>
      <c r="V83" s="15">
        <f t="shared" si="39"/>
        <v>5157367.95</v>
      </c>
      <c r="W83" s="15">
        <f t="shared" si="39"/>
        <v>1952936.2000000002</v>
      </c>
      <c r="X83" s="15">
        <f t="shared" si="39"/>
        <v>6647819.2000000002</v>
      </c>
      <c r="Y83" s="15">
        <f t="shared" si="39"/>
        <v>1738690.8</v>
      </c>
      <c r="Z83" s="15">
        <f t="shared" si="39"/>
        <v>282374.44999999995</v>
      </c>
      <c r="AA83" s="15">
        <f t="shared" si="39"/>
        <v>5686075.1499999994</v>
      </c>
      <c r="AB83" s="15">
        <f t="shared" si="39"/>
        <v>71814.899999999994</v>
      </c>
      <c r="AC83" s="15">
        <f t="shared" si="39"/>
        <v>3197120.25</v>
      </c>
      <c r="AD83" s="15">
        <f t="shared" si="39"/>
        <v>759508.2</v>
      </c>
      <c r="AE83" s="15">
        <f t="shared" si="39"/>
        <v>5821396.7499999991</v>
      </c>
      <c r="AF83" s="15">
        <f t="shared" si="39"/>
        <v>479389.55</v>
      </c>
      <c r="AG83" s="15">
        <f t="shared" si="39"/>
        <v>855801.75</v>
      </c>
      <c r="AH83" s="15">
        <f t="shared" si="39"/>
        <v>7816796.7999999998</v>
      </c>
      <c r="AI83" s="15">
        <f t="shared" si="39"/>
        <v>1187303.55</v>
      </c>
      <c r="AJ83" s="15">
        <f t="shared" si="39"/>
        <v>624606.89999999991</v>
      </c>
      <c r="AK83" s="15">
        <f t="shared" si="39"/>
        <v>1436956.15</v>
      </c>
      <c r="AL83" s="15">
        <f t="shared" si="39"/>
        <v>754700</v>
      </c>
      <c r="AM83" s="15">
        <f t="shared" si="39"/>
        <v>1635187.3499999999</v>
      </c>
      <c r="AN83" s="15">
        <f t="shared" si="39"/>
        <v>113512.4</v>
      </c>
      <c r="AO83" s="15">
        <f t="shared" si="39"/>
        <v>1554344.65</v>
      </c>
      <c r="AP83" s="15">
        <f t="shared" si="39"/>
        <v>1961247.85</v>
      </c>
      <c r="AQ83" s="15">
        <f t="shared" si="39"/>
        <v>789647.9</v>
      </c>
      <c r="AR83" s="15">
        <f t="shared" si="39"/>
        <v>277234.05</v>
      </c>
      <c r="AS83" s="15">
        <f t="shared" si="39"/>
        <v>91126.349999999991</v>
      </c>
      <c r="AT83" s="15">
        <f t="shared" si="39"/>
        <v>232674.95</v>
      </c>
      <c r="AU83" s="15">
        <f t="shared" si="39"/>
        <v>648383</v>
      </c>
      <c r="AV83" s="15">
        <f t="shared" si="39"/>
        <v>753177.85</v>
      </c>
      <c r="AW83" s="15">
        <f t="shared" si="39"/>
        <v>537851.70000000007</v>
      </c>
      <c r="AX83" s="15">
        <f t="shared" si="39"/>
        <v>715282.55</v>
      </c>
      <c r="AY83" s="15">
        <f t="shared" si="39"/>
        <v>1820797.55</v>
      </c>
      <c r="AZ83" s="15">
        <f t="shared" si="39"/>
        <v>843135.25</v>
      </c>
      <c r="BA83" s="15">
        <f t="shared" si="39"/>
        <v>20710290.550000001</v>
      </c>
      <c r="BB83" s="15">
        <f t="shared" si="39"/>
        <v>1978735.9</v>
      </c>
      <c r="BC83" s="15">
        <f t="shared" si="39"/>
        <v>291137.34999999998</v>
      </c>
      <c r="BD83" s="15">
        <f t="shared" si="39"/>
        <v>453457.55</v>
      </c>
      <c r="BE83" s="15">
        <f t="shared" si="39"/>
        <v>1263126.25</v>
      </c>
      <c r="BF83" s="15">
        <f t="shared" si="39"/>
        <v>1863677.5</v>
      </c>
      <c r="BG83" s="15">
        <f t="shared" si="39"/>
        <v>257820.15</v>
      </c>
      <c r="BH83" s="15">
        <f t="shared" si="39"/>
        <v>134478.25</v>
      </c>
      <c r="BI83" s="15">
        <f t="shared" si="39"/>
        <v>427375.35</v>
      </c>
      <c r="BJ83" s="15">
        <f t="shared" si="39"/>
        <v>40177.5</v>
      </c>
      <c r="BK83" s="15">
        <f t="shared" si="39"/>
        <v>1168436.95</v>
      </c>
      <c r="BL83" s="15">
        <f t="shared" si="39"/>
        <v>205379.94999999998</v>
      </c>
      <c r="BM83" s="15">
        <f t="shared" si="39"/>
        <v>240189.40000000002</v>
      </c>
      <c r="BN83" s="15">
        <f t="shared" si="39"/>
        <v>2356354.3499999996</v>
      </c>
      <c r="BO83" s="15">
        <f t="shared" si="39"/>
        <v>871444.8</v>
      </c>
      <c r="BP83" s="15">
        <f t="shared" si="39"/>
        <v>780195.85</v>
      </c>
      <c r="BQ83" s="15">
        <f t="shared" ref="BQ83:CB83" si="40">BQ80-BQ81-BQ82</f>
        <v>3092395.45</v>
      </c>
      <c r="BR83" s="15">
        <f t="shared" si="40"/>
        <v>2602334.5499999998</v>
      </c>
      <c r="BS83" s="15">
        <f t="shared" si="40"/>
        <v>1301178.5</v>
      </c>
      <c r="BT83" s="15">
        <f t="shared" si="40"/>
        <v>11341815.75</v>
      </c>
      <c r="BU83" s="15">
        <f t="shared" si="40"/>
        <v>1047295.35</v>
      </c>
      <c r="BV83" s="15">
        <f t="shared" si="40"/>
        <v>1926640.35</v>
      </c>
      <c r="BW83" s="15">
        <f t="shared" si="40"/>
        <v>102337.60000000001</v>
      </c>
      <c r="BX83" s="15">
        <f t="shared" si="40"/>
        <v>353448.25</v>
      </c>
      <c r="BY83" s="15">
        <f t="shared" si="40"/>
        <v>5886367.9000000004</v>
      </c>
      <c r="BZ83" s="15">
        <f t="shared" si="40"/>
        <v>527975.04999999993</v>
      </c>
      <c r="CA83" s="15">
        <f t="shared" si="40"/>
        <v>403644.4</v>
      </c>
      <c r="CB83" s="15">
        <f t="shared" si="40"/>
        <v>1285478.3</v>
      </c>
      <c r="CC83" s="21"/>
      <c r="CD83" s="21"/>
    </row>
    <row r="84" spans="1:82" x14ac:dyDescent="0.2">
      <c r="B84" s="3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  <row r="85" spans="1:82" s="32" customFormat="1" x14ac:dyDescent="0.2">
      <c r="A85" s="25" t="s">
        <v>160</v>
      </c>
      <c r="B85" s="26" t="s">
        <v>87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27"/>
      <c r="CD85" s="35"/>
    </row>
    <row r="86" spans="1:82" x14ac:dyDescent="0.2">
      <c r="B86" s="30" t="s">
        <v>94</v>
      </c>
      <c r="C86" s="45">
        <f>C90/C92</f>
        <v>0.69997489261295243</v>
      </c>
      <c r="D86" s="12">
        <v>0.8</v>
      </c>
      <c r="E86" s="12">
        <v>0.8</v>
      </c>
      <c r="F86" s="12">
        <v>0.8</v>
      </c>
      <c r="G86" s="12">
        <v>0.8</v>
      </c>
      <c r="H86" s="12">
        <v>0.2</v>
      </c>
      <c r="I86" s="12">
        <v>0.4</v>
      </c>
      <c r="J86" s="12">
        <v>0.6</v>
      </c>
      <c r="K86" s="12">
        <v>0.3</v>
      </c>
      <c r="L86" s="12">
        <v>0.2</v>
      </c>
      <c r="M86" s="12">
        <v>0.8</v>
      </c>
      <c r="N86" s="12">
        <v>0.8</v>
      </c>
      <c r="O86" s="12">
        <v>0.8</v>
      </c>
      <c r="P86" s="12">
        <v>0.8</v>
      </c>
      <c r="Q86" s="12">
        <v>0.8</v>
      </c>
      <c r="R86" s="12">
        <v>0.8</v>
      </c>
      <c r="S86" s="12">
        <v>0.8</v>
      </c>
      <c r="T86" s="12">
        <v>0.4</v>
      </c>
      <c r="U86" s="12">
        <v>0.8</v>
      </c>
      <c r="V86" s="12">
        <v>0.6</v>
      </c>
      <c r="W86" s="12">
        <v>0.6</v>
      </c>
      <c r="X86" s="12">
        <v>0.8</v>
      </c>
      <c r="Y86" s="12">
        <v>0.8</v>
      </c>
      <c r="Z86" s="12">
        <v>0.8</v>
      </c>
      <c r="AA86" s="12">
        <v>0.8</v>
      </c>
      <c r="AB86" s="12">
        <v>0.8</v>
      </c>
      <c r="AC86" s="12">
        <v>0.8</v>
      </c>
      <c r="AD86" s="12">
        <v>0.8</v>
      </c>
      <c r="AE86" s="12">
        <v>0.8</v>
      </c>
      <c r="AF86" s="12">
        <v>0.8</v>
      </c>
      <c r="AG86" s="12">
        <v>0.8</v>
      </c>
      <c r="AH86" s="12">
        <v>0.7</v>
      </c>
      <c r="AI86" s="12">
        <v>0.8</v>
      </c>
      <c r="AJ86" s="12">
        <v>0.8</v>
      </c>
      <c r="AK86" s="12">
        <v>0.8</v>
      </c>
      <c r="AL86" s="12">
        <v>0.8</v>
      </c>
      <c r="AM86" s="12">
        <v>0.8</v>
      </c>
      <c r="AN86" s="12">
        <v>0.8</v>
      </c>
      <c r="AO86" s="12">
        <v>0.8</v>
      </c>
      <c r="AP86" s="12">
        <v>0.8</v>
      </c>
      <c r="AQ86" s="12">
        <v>0.8</v>
      </c>
      <c r="AR86" s="12">
        <v>0.8</v>
      </c>
      <c r="AS86" s="12">
        <v>0.8</v>
      </c>
      <c r="AT86" s="12">
        <v>0.8</v>
      </c>
      <c r="AU86" s="12">
        <v>0.8</v>
      </c>
      <c r="AV86" s="12">
        <v>0.8</v>
      </c>
      <c r="AW86" s="12">
        <v>0.8</v>
      </c>
      <c r="AX86" s="12">
        <v>0.8</v>
      </c>
      <c r="AY86" s="12">
        <v>0.8</v>
      </c>
      <c r="AZ86" s="12">
        <v>0.8</v>
      </c>
      <c r="BA86" s="12">
        <v>0.3</v>
      </c>
      <c r="BB86" s="12">
        <v>0.8</v>
      </c>
      <c r="BC86" s="12">
        <v>0.8</v>
      </c>
      <c r="BD86" s="12">
        <v>0.8</v>
      </c>
      <c r="BE86" s="12">
        <v>0.8</v>
      </c>
      <c r="BF86" s="12">
        <v>0.8</v>
      </c>
      <c r="BG86" s="12">
        <v>0.8</v>
      </c>
      <c r="BH86" s="12">
        <v>0.8</v>
      </c>
      <c r="BI86" s="12">
        <v>0.8</v>
      </c>
      <c r="BJ86" s="12">
        <v>0.8</v>
      </c>
      <c r="BK86" s="12">
        <v>0.8</v>
      </c>
      <c r="BL86" s="12">
        <v>0.8</v>
      </c>
      <c r="BM86" s="12">
        <v>0.5</v>
      </c>
      <c r="BN86" s="12">
        <v>0.8</v>
      </c>
      <c r="BO86" s="12">
        <v>0.8</v>
      </c>
      <c r="BP86" s="12">
        <v>0.8</v>
      </c>
      <c r="BQ86" s="12">
        <v>0.6</v>
      </c>
      <c r="BR86" s="12">
        <v>0.8</v>
      </c>
      <c r="BS86" s="12">
        <v>0.8</v>
      </c>
      <c r="BT86" s="12">
        <v>0.6</v>
      </c>
      <c r="BU86" s="12">
        <v>0.4</v>
      </c>
      <c r="BV86" s="12">
        <v>0.3</v>
      </c>
      <c r="BW86" s="12">
        <v>0.8</v>
      </c>
      <c r="BX86" s="12">
        <v>0.4</v>
      </c>
      <c r="BY86" s="12">
        <v>0.6</v>
      </c>
      <c r="BZ86" s="12">
        <v>0.6</v>
      </c>
      <c r="CA86" s="12">
        <v>0.8</v>
      </c>
      <c r="CB86" s="12">
        <v>0.8</v>
      </c>
      <c r="CD86" s="3" t="s">
        <v>117</v>
      </c>
    </row>
    <row r="87" spans="1:82" x14ac:dyDescent="0.2">
      <c r="B87" s="4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</row>
    <row r="88" spans="1:82" x14ac:dyDescent="0.2">
      <c r="B88" s="30" t="s">
        <v>84</v>
      </c>
      <c r="C88" s="5">
        <f>SUM(D88:CB88)</f>
        <v>87238092.339999974</v>
      </c>
      <c r="D88" s="12">
        <v>15437000.5</v>
      </c>
      <c r="E88" s="12">
        <v>1592497.45</v>
      </c>
      <c r="F88" s="12">
        <v>242765</v>
      </c>
      <c r="G88" s="12">
        <v>198494.15</v>
      </c>
      <c r="H88" s="12">
        <v>221964.79999999999</v>
      </c>
      <c r="I88" s="12">
        <v>886389</v>
      </c>
      <c r="J88" s="12">
        <v>569469.1</v>
      </c>
      <c r="K88" s="12">
        <v>61072.25</v>
      </c>
      <c r="L88" s="12">
        <v>90224.45</v>
      </c>
      <c r="M88" s="12">
        <v>199823.1</v>
      </c>
      <c r="N88" s="12">
        <v>379975.3</v>
      </c>
      <c r="O88" s="12">
        <v>1377605.2</v>
      </c>
      <c r="P88" s="12">
        <v>1602276.85</v>
      </c>
      <c r="Q88" s="12">
        <v>1496103.05</v>
      </c>
      <c r="R88" s="12">
        <v>614802</v>
      </c>
      <c r="S88" s="12">
        <v>1121135.1499999999</v>
      </c>
      <c r="T88" s="12">
        <v>775095.15</v>
      </c>
      <c r="U88" s="12">
        <v>815322.5</v>
      </c>
      <c r="V88" s="12">
        <v>833618.38</v>
      </c>
      <c r="W88" s="12">
        <v>1004545.35</v>
      </c>
      <c r="X88" s="12">
        <v>2193172.6</v>
      </c>
      <c r="Y88" s="12">
        <v>736591</v>
      </c>
      <c r="Z88" s="12">
        <v>379868.5</v>
      </c>
      <c r="AA88" s="12">
        <v>2230720.25</v>
      </c>
      <c r="AB88" s="12">
        <v>262497.5</v>
      </c>
      <c r="AC88" s="12">
        <v>1684912</v>
      </c>
      <c r="AD88" s="12">
        <v>471111.95</v>
      </c>
      <c r="AE88" s="12">
        <v>1257308.32</v>
      </c>
      <c r="AF88" s="12">
        <v>591966.55000000005</v>
      </c>
      <c r="AG88" s="12">
        <v>1179449.7</v>
      </c>
      <c r="AH88" s="12">
        <v>2164138.5499999998</v>
      </c>
      <c r="AI88" s="12">
        <v>933413.8</v>
      </c>
      <c r="AJ88" s="12">
        <v>922356.55</v>
      </c>
      <c r="AK88" s="12">
        <v>1131688.75</v>
      </c>
      <c r="AL88" s="12">
        <v>966727</v>
      </c>
      <c r="AM88" s="12">
        <v>1497773.35</v>
      </c>
      <c r="AN88" s="12">
        <v>407243.3</v>
      </c>
      <c r="AO88" s="12">
        <v>1702340.95</v>
      </c>
      <c r="AP88" s="12">
        <v>1077892.6499999999</v>
      </c>
      <c r="AQ88" s="12">
        <v>1093273.3500000001</v>
      </c>
      <c r="AR88" s="12">
        <v>839435.35</v>
      </c>
      <c r="AS88" s="12">
        <v>491477.4</v>
      </c>
      <c r="AT88" s="12">
        <v>385913.8</v>
      </c>
      <c r="AU88" s="12">
        <v>666148.1</v>
      </c>
      <c r="AV88" s="12">
        <v>532777.55000000005</v>
      </c>
      <c r="AW88" s="12">
        <v>770841.3</v>
      </c>
      <c r="AX88" s="12">
        <v>1130817.3999999999</v>
      </c>
      <c r="AY88" s="12">
        <v>1234667.7</v>
      </c>
      <c r="AZ88" s="12">
        <v>778543.6</v>
      </c>
      <c r="BA88" s="12">
        <v>2664870.7999999998</v>
      </c>
      <c r="BB88" s="12">
        <v>1888269.5</v>
      </c>
      <c r="BC88" s="12">
        <v>786427.9</v>
      </c>
      <c r="BD88" s="12">
        <v>568683.1</v>
      </c>
      <c r="BE88" s="12">
        <v>826015.44</v>
      </c>
      <c r="BF88" s="12">
        <v>1349487.05</v>
      </c>
      <c r="BG88" s="12">
        <v>275165.96000000002</v>
      </c>
      <c r="BH88" s="12">
        <v>181115.45</v>
      </c>
      <c r="BI88" s="12">
        <v>552662.39</v>
      </c>
      <c r="BJ88" s="12">
        <v>149739.29999999999</v>
      </c>
      <c r="BK88" s="12">
        <v>745519.95</v>
      </c>
      <c r="BL88" s="12">
        <v>243827</v>
      </c>
      <c r="BM88" s="12">
        <v>244666.1</v>
      </c>
      <c r="BN88" s="12">
        <v>1653511.6</v>
      </c>
      <c r="BO88" s="12">
        <v>834593.15</v>
      </c>
      <c r="BP88" s="12">
        <v>1041996.32</v>
      </c>
      <c r="BQ88" s="12">
        <v>1637078.2</v>
      </c>
      <c r="BR88" s="12">
        <v>1559353.95</v>
      </c>
      <c r="BS88" s="12">
        <v>605402.35</v>
      </c>
      <c r="BT88" s="12">
        <v>3460972.95</v>
      </c>
      <c r="BU88" s="12">
        <v>529789.80000000005</v>
      </c>
      <c r="BV88" s="12">
        <v>336733</v>
      </c>
      <c r="BW88" s="12">
        <v>273284.34999999998</v>
      </c>
      <c r="BX88" s="12">
        <v>276070.8</v>
      </c>
      <c r="BY88" s="12">
        <v>2716229.12</v>
      </c>
      <c r="BZ88" s="12">
        <v>282036</v>
      </c>
      <c r="CA88" s="12">
        <v>621396.61</v>
      </c>
      <c r="CB88" s="12">
        <v>1697946.65</v>
      </c>
      <c r="CD88" s="3" t="s">
        <v>116</v>
      </c>
    </row>
    <row r="89" spans="1:82" x14ac:dyDescent="0.2">
      <c r="B89" s="30" t="s">
        <v>85</v>
      </c>
      <c r="C89" s="5">
        <f t="shared" ref="C89:C92" si="41">SUM(D89:CB89)</f>
        <v>5090.5199999999995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12</v>
      </c>
      <c r="O89" s="12">
        <v>0</v>
      </c>
      <c r="P89" s="12">
        <v>0</v>
      </c>
      <c r="Q89" s="12">
        <v>143.69999999999999</v>
      </c>
      <c r="R89" s="12">
        <v>0</v>
      </c>
      <c r="S89" s="12">
        <v>0</v>
      </c>
      <c r="T89" s="12">
        <v>0</v>
      </c>
      <c r="U89" s="12">
        <v>72.849999999999994</v>
      </c>
      <c r="V89" s="12">
        <v>0</v>
      </c>
      <c r="W89" s="12">
        <v>6.6</v>
      </c>
      <c r="X89" s="12">
        <v>0</v>
      </c>
      <c r="Y89" s="12">
        <v>0</v>
      </c>
      <c r="Z89" s="12">
        <v>0</v>
      </c>
      <c r="AA89" s="12">
        <v>7.51</v>
      </c>
      <c r="AB89" s="12">
        <v>0</v>
      </c>
      <c r="AC89" s="12">
        <v>789</v>
      </c>
      <c r="AD89" s="12">
        <v>0</v>
      </c>
      <c r="AE89" s="12">
        <v>0</v>
      </c>
      <c r="AF89" s="12">
        <v>0</v>
      </c>
      <c r="AG89" s="12">
        <v>0</v>
      </c>
      <c r="AH89" s="12">
        <v>8.4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81.3</v>
      </c>
      <c r="AP89" s="12">
        <v>4.9000000000000004</v>
      </c>
      <c r="AQ89" s="12">
        <v>5.91</v>
      </c>
      <c r="AR89" s="12">
        <v>0</v>
      </c>
      <c r="AS89" s="12">
        <v>0</v>
      </c>
      <c r="AT89" s="12">
        <v>0</v>
      </c>
      <c r="AU89" s="12">
        <v>0</v>
      </c>
      <c r="AV89" s="12">
        <v>0.1</v>
      </c>
      <c r="AW89" s="12">
        <v>1.1499999999999999</v>
      </c>
      <c r="AX89" s="12">
        <v>176.4</v>
      </c>
      <c r="AY89" s="12">
        <v>4.4000000000000004</v>
      </c>
      <c r="AZ89" s="12">
        <v>0</v>
      </c>
      <c r="BA89" s="12">
        <v>0</v>
      </c>
      <c r="BB89" s="12">
        <v>2912.29</v>
      </c>
      <c r="BC89" s="12">
        <v>0</v>
      </c>
      <c r="BD89" s="12">
        <v>-93.35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43.19</v>
      </c>
      <c r="BN89" s="12">
        <v>208.6</v>
      </c>
      <c r="BO89" s="12">
        <v>0</v>
      </c>
      <c r="BP89" s="12">
        <v>0</v>
      </c>
      <c r="BQ89" s="12">
        <v>565.77</v>
      </c>
      <c r="BR89" s="12">
        <v>139.80000000000001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D89" s="3" t="s">
        <v>116</v>
      </c>
    </row>
    <row r="90" spans="1:82" x14ac:dyDescent="0.2">
      <c r="B90" s="30" t="s">
        <v>86</v>
      </c>
      <c r="C90" s="5">
        <f t="shared" si="41"/>
        <v>87233001.819999993</v>
      </c>
      <c r="D90" s="5">
        <f>D88-D89</f>
        <v>15437000.5</v>
      </c>
      <c r="E90" s="5">
        <f t="shared" ref="E90:BP90" si="42">E88-E89</f>
        <v>1592497.45</v>
      </c>
      <c r="F90" s="5">
        <f t="shared" si="42"/>
        <v>242765</v>
      </c>
      <c r="G90" s="5">
        <f t="shared" si="42"/>
        <v>198494.15</v>
      </c>
      <c r="H90" s="5">
        <f t="shared" si="42"/>
        <v>221964.79999999999</v>
      </c>
      <c r="I90" s="5">
        <f t="shared" si="42"/>
        <v>886389</v>
      </c>
      <c r="J90" s="5">
        <f t="shared" si="42"/>
        <v>569469.1</v>
      </c>
      <c r="K90" s="5">
        <f t="shared" si="42"/>
        <v>61072.25</v>
      </c>
      <c r="L90" s="5">
        <f t="shared" si="42"/>
        <v>90224.45</v>
      </c>
      <c r="M90" s="5">
        <f t="shared" si="42"/>
        <v>199823.1</v>
      </c>
      <c r="N90" s="5">
        <f t="shared" si="42"/>
        <v>379963.3</v>
      </c>
      <c r="O90" s="5">
        <f t="shared" si="42"/>
        <v>1377605.2</v>
      </c>
      <c r="P90" s="5">
        <f t="shared" si="42"/>
        <v>1602276.85</v>
      </c>
      <c r="Q90" s="5">
        <f t="shared" si="42"/>
        <v>1495959.35</v>
      </c>
      <c r="R90" s="5">
        <f t="shared" si="42"/>
        <v>614802</v>
      </c>
      <c r="S90" s="5">
        <f t="shared" si="42"/>
        <v>1121135.1499999999</v>
      </c>
      <c r="T90" s="5">
        <f t="shared" si="42"/>
        <v>775095.15</v>
      </c>
      <c r="U90" s="5">
        <f t="shared" si="42"/>
        <v>815249.65</v>
      </c>
      <c r="V90" s="5">
        <f t="shared" si="42"/>
        <v>833618.38</v>
      </c>
      <c r="W90" s="5">
        <f t="shared" si="42"/>
        <v>1004538.75</v>
      </c>
      <c r="X90" s="5">
        <f t="shared" si="42"/>
        <v>2193172.6</v>
      </c>
      <c r="Y90" s="5">
        <f t="shared" si="42"/>
        <v>736591</v>
      </c>
      <c r="Z90" s="5">
        <f t="shared" si="42"/>
        <v>379868.5</v>
      </c>
      <c r="AA90" s="5">
        <f t="shared" si="42"/>
        <v>2230712.7400000002</v>
      </c>
      <c r="AB90" s="5">
        <f t="shared" si="42"/>
        <v>262497.5</v>
      </c>
      <c r="AC90" s="5">
        <f t="shared" si="42"/>
        <v>1684123</v>
      </c>
      <c r="AD90" s="5">
        <f t="shared" si="42"/>
        <v>471111.95</v>
      </c>
      <c r="AE90" s="5">
        <f t="shared" si="42"/>
        <v>1257308.32</v>
      </c>
      <c r="AF90" s="5">
        <f t="shared" si="42"/>
        <v>591966.55000000005</v>
      </c>
      <c r="AG90" s="5">
        <f t="shared" si="42"/>
        <v>1179449.7</v>
      </c>
      <c r="AH90" s="5">
        <f t="shared" si="42"/>
        <v>2164130.15</v>
      </c>
      <c r="AI90" s="5">
        <f t="shared" si="42"/>
        <v>933413.8</v>
      </c>
      <c r="AJ90" s="5">
        <f t="shared" si="42"/>
        <v>922356.55</v>
      </c>
      <c r="AK90" s="5">
        <f t="shared" si="42"/>
        <v>1131688.75</v>
      </c>
      <c r="AL90" s="5">
        <f t="shared" si="42"/>
        <v>966727</v>
      </c>
      <c r="AM90" s="5">
        <f t="shared" si="42"/>
        <v>1497773.35</v>
      </c>
      <c r="AN90" s="5">
        <f t="shared" si="42"/>
        <v>407243.3</v>
      </c>
      <c r="AO90" s="5">
        <f t="shared" si="42"/>
        <v>1702259.65</v>
      </c>
      <c r="AP90" s="5">
        <f t="shared" si="42"/>
        <v>1077887.75</v>
      </c>
      <c r="AQ90" s="5">
        <f t="shared" si="42"/>
        <v>1093267.4400000002</v>
      </c>
      <c r="AR90" s="5">
        <f t="shared" si="42"/>
        <v>839435.35</v>
      </c>
      <c r="AS90" s="5">
        <f t="shared" si="42"/>
        <v>491477.4</v>
      </c>
      <c r="AT90" s="5">
        <f t="shared" si="42"/>
        <v>385913.8</v>
      </c>
      <c r="AU90" s="5">
        <f t="shared" si="42"/>
        <v>666148.1</v>
      </c>
      <c r="AV90" s="5">
        <f t="shared" si="42"/>
        <v>532777.45000000007</v>
      </c>
      <c r="AW90" s="5">
        <f t="shared" si="42"/>
        <v>770840.15</v>
      </c>
      <c r="AX90" s="5">
        <f t="shared" si="42"/>
        <v>1130641</v>
      </c>
      <c r="AY90" s="5">
        <f t="shared" si="42"/>
        <v>1234663.3</v>
      </c>
      <c r="AZ90" s="5">
        <f t="shared" si="42"/>
        <v>778543.6</v>
      </c>
      <c r="BA90" s="5">
        <f t="shared" si="42"/>
        <v>2664870.7999999998</v>
      </c>
      <c r="BB90" s="5">
        <f t="shared" si="42"/>
        <v>1885357.21</v>
      </c>
      <c r="BC90" s="5">
        <f t="shared" si="42"/>
        <v>786427.9</v>
      </c>
      <c r="BD90" s="5">
        <f t="shared" si="42"/>
        <v>568776.44999999995</v>
      </c>
      <c r="BE90" s="5">
        <f t="shared" si="42"/>
        <v>826015.44</v>
      </c>
      <c r="BF90" s="5">
        <f t="shared" si="42"/>
        <v>1349487.05</v>
      </c>
      <c r="BG90" s="5">
        <f t="shared" si="42"/>
        <v>275165.96000000002</v>
      </c>
      <c r="BH90" s="5">
        <f t="shared" si="42"/>
        <v>181115.45</v>
      </c>
      <c r="BI90" s="5">
        <f t="shared" si="42"/>
        <v>552662.39</v>
      </c>
      <c r="BJ90" s="5">
        <f t="shared" si="42"/>
        <v>149739.29999999999</v>
      </c>
      <c r="BK90" s="5">
        <f t="shared" si="42"/>
        <v>745519.95</v>
      </c>
      <c r="BL90" s="5">
        <f t="shared" si="42"/>
        <v>243827</v>
      </c>
      <c r="BM90" s="5">
        <f t="shared" si="42"/>
        <v>244622.91</v>
      </c>
      <c r="BN90" s="5">
        <f t="shared" si="42"/>
        <v>1653303</v>
      </c>
      <c r="BO90" s="5">
        <f t="shared" si="42"/>
        <v>834593.15</v>
      </c>
      <c r="BP90" s="5">
        <f t="shared" si="42"/>
        <v>1041996.32</v>
      </c>
      <c r="BQ90" s="5">
        <f t="shared" ref="BQ90:CB90" si="43">BQ88-BQ89</f>
        <v>1636512.43</v>
      </c>
      <c r="BR90" s="5">
        <f t="shared" si="43"/>
        <v>1559214.15</v>
      </c>
      <c r="BS90" s="5">
        <f t="shared" si="43"/>
        <v>605402.35</v>
      </c>
      <c r="BT90" s="5">
        <f t="shared" si="43"/>
        <v>3460972.95</v>
      </c>
      <c r="BU90" s="5">
        <f t="shared" si="43"/>
        <v>529789.80000000005</v>
      </c>
      <c r="BV90" s="5">
        <f t="shared" si="43"/>
        <v>336733</v>
      </c>
      <c r="BW90" s="5">
        <f t="shared" si="43"/>
        <v>273284.34999999998</v>
      </c>
      <c r="BX90" s="5">
        <f t="shared" si="43"/>
        <v>276070.8</v>
      </c>
      <c r="BY90" s="5">
        <f t="shared" si="43"/>
        <v>2716229.12</v>
      </c>
      <c r="BZ90" s="5">
        <f t="shared" si="43"/>
        <v>282036</v>
      </c>
      <c r="CA90" s="5">
        <f t="shared" si="43"/>
        <v>621396.61</v>
      </c>
      <c r="CB90" s="5">
        <f t="shared" si="43"/>
        <v>1697946.65</v>
      </c>
    </row>
    <row r="91" spans="1:82" x14ac:dyDescent="0.2">
      <c r="B91" s="3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</row>
    <row r="92" spans="1:82" x14ac:dyDescent="0.2">
      <c r="B92" s="30" t="s">
        <v>95</v>
      </c>
      <c r="C92" s="5">
        <f t="shared" si="41"/>
        <v>124623043.97</v>
      </c>
      <c r="D92" s="5">
        <f>D90/D86</f>
        <v>19296250.625</v>
      </c>
      <c r="E92" s="5">
        <f t="shared" ref="E92:BP92" si="44">E90/E86</f>
        <v>1990621.8124999998</v>
      </c>
      <c r="F92" s="5">
        <f t="shared" si="44"/>
        <v>303456.25</v>
      </c>
      <c r="G92" s="5">
        <f t="shared" si="44"/>
        <v>248117.68749999997</v>
      </c>
      <c r="H92" s="5">
        <f t="shared" si="44"/>
        <v>1109823.9999999998</v>
      </c>
      <c r="I92" s="5">
        <f t="shared" si="44"/>
        <v>2215972.5</v>
      </c>
      <c r="J92" s="5">
        <f t="shared" si="44"/>
        <v>949115.16666666663</v>
      </c>
      <c r="K92" s="5">
        <f t="shared" si="44"/>
        <v>203574.16666666669</v>
      </c>
      <c r="L92" s="5">
        <f t="shared" si="44"/>
        <v>451122.24999999994</v>
      </c>
      <c r="M92" s="5">
        <f t="shared" si="44"/>
        <v>249778.875</v>
      </c>
      <c r="N92" s="5">
        <f t="shared" si="44"/>
        <v>474954.12499999994</v>
      </c>
      <c r="O92" s="5">
        <f t="shared" si="44"/>
        <v>1722006.4999999998</v>
      </c>
      <c r="P92" s="5">
        <f t="shared" si="44"/>
        <v>2002846.0625</v>
      </c>
      <c r="Q92" s="5">
        <f t="shared" si="44"/>
        <v>1869949.1875</v>
      </c>
      <c r="R92" s="5">
        <f t="shared" si="44"/>
        <v>768502.5</v>
      </c>
      <c r="S92" s="5">
        <f t="shared" si="44"/>
        <v>1401418.9374999998</v>
      </c>
      <c r="T92" s="5">
        <f t="shared" si="44"/>
        <v>1937737.875</v>
      </c>
      <c r="U92" s="5">
        <f t="shared" si="44"/>
        <v>1019062.0625</v>
      </c>
      <c r="V92" s="5">
        <f t="shared" si="44"/>
        <v>1389363.9666666668</v>
      </c>
      <c r="W92" s="5">
        <f t="shared" si="44"/>
        <v>1674231.25</v>
      </c>
      <c r="X92" s="5">
        <f t="shared" si="44"/>
        <v>2741465.75</v>
      </c>
      <c r="Y92" s="5">
        <f t="shared" si="44"/>
        <v>920738.75</v>
      </c>
      <c r="Z92" s="5">
        <f t="shared" si="44"/>
        <v>474835.625</v>
      </c>
      <c r="AA92" s="5">
        <f t="shared" si="44"/>
        <v>2788390.9250000003</v>
      </c>
      <c r="AB92" s="5">
        <f t="shared" si="44"/>
        <v>328121.875</v>
      </c>
      <c r="AC92" s="5">
        <f t="shared" si="44"/>
        <v>2105153.75</v>
      </c>
      <c r="AD92" s="5">
        <f t="shared" si="44"/>
        <v>588889.9375</v>
      </c>
      <c r="AE92" s="5">
        <f t="shared" si="44"/>
        <v>1571635.4</v>
      </c>
      <c r="AF92" s="5">
        <f t="shared" si="44"/>
        <v>739958.1875</v>
      </c>
      <c r="AG92" s="5">
        <f t="shared" si="44"/>
        <v>1474312.1249999998</v>
      </c>
      <c r="AH92" s="5">
        <f t="shared" si="44"/>
        <v>3091614.5</v>
      </c>
      <c r="AI92" s="5">
        <f t="shared" si="44"/>
        <v>1166767.25</v>
      </c>
      <c r="AJ92" s="5">
        <f t="shared" si="44"/>
        <v>1152945.6875</v>
      </c>
      <c r="AK92" s="5">
        <f t="shared" si="44"/>
        <v>1414610.9375</v>
      </c>
      <c r="AL92" s="5">
        <f t="shared" si="44"/>
        <v>1208408.75</v>
      </c>
      <c r="AM92" s="5">
        <f t="shared" si="44"/>
        <v>1872216.6875</v>
      </c>
      <c r="AN92" s="5">
        <f t="shared" si="44"/>
        <v>509054.12499999994</v>
      </c>
      <c r="AO92" s="5">
        <f t="shared" si="44"/>
        <v>2127824.5624999995</v>
      </c>
      <c r="AP92" s="5">
        <f t="shared" si="44"/>
        <v>1347359.6875</v>
      </c>
      <c r="AQ92" s="5">
        <f t="shared" si="44"/>
        <v>1366584.3</v>
      </c>
      <c r="AR92" s="5">
        <f t="shared" si="44"/>
        <v>1049294.1875</v>
      </c>
      <c r="AS92" s="5">
        <f t="shared" si="44"/>
        <v>614346.75</v>
      </c>
      <c r="AT92" s="5">
        <f t="shared" si="44"/>
        <v>482392.24999999994</v>
      </c>
      <c r="AU92" s="5">
        <f t="shared" si="44"/>
        <v>832685.12499999988</v>
      </c>
      <c r="AV92" s="5">
        <f t="shared" si="44"/>
        <v>665971.8125</v>
      </c>
      <c r="AW92" s="5">
        <f t="shared" si="44"/>
        <v>963550.1875</v>
      </c>
      <c r="AX92" s="5">
        <f t="shared" si="44"/>
        <v>1413301.25</v>
      </c>
      <c r="AY92" s="5">
        <f t="shared" si="44"/>
        <v>1543329.125</v>
      </c>
      <c r="AZ92" s="5">
        <f t="shared" si="44"/>
        <v>973179.49999999988</v>
      </c>
      <c r="BA92" s="5">
        <f t="shared" si="44"/>
        <v>8882902.666666666</v>
      </c>
      <c r="BB92" s="5">
        <f t="shared" si="44"/>
        <v>2356696.5124999997</v>
      </c>
      <c r="BC92" s="5">
        <f t="shared" si="44"/>
        <v>983034.875</v>
      </c>
      <c r="BD92" s="5">
        <f t="shared" si="44"/>
        <v>710970.56249999988</v>
      </c>
      <c r="BE92" s="5">
        <f t="shared" si="44"/>
        <v>1032519.2999999999</v>
      </c>
      <c r="BF92" s="5">
        <f t="shared" si="44"/>
        <v>1686858.8125</v>
      </c>
      <c r="BG92" s="5">
        <f t="shared" si="44"/>
        <v>343957.45</v>
      </c>
      <c r="BH92" s="5">
        <f t="shared" si="44"/>
        <v>226394.3125</v>
      </c>
      <c r="BI92" s="5">
        <f t="shared" si="44"/>
        <v>690827.98749999993</v>
      </c>
      <c r="BJ92" s="5">
        <f t="shared" si="44"/>
        <v>187174.12499999997</v>
      </c>
      <c r="BK92" s="5">
        <f t="shared" si="44"/>
        <v>931899.93749999988</v>
      </c>
      <c r="BL92" s="5">
        <f t="shared" si="44"/>
        <v>304783.75</v>
      </c>
      <c r="BM92" s="5">
        <f t="shared" si="44"/>
        <v>489245.82</v>
      </c>
      <c r="BN92" s="5">
        <f t="shared" si="44"/>
        <v>2066628.75</v>
      </c>
      <c r="BO92" s="5">
        <f t="shared" si="44"/>
        <v>1043241.4375</v>
      </c>
      <c r="BP92" s="5">
        <f t="shared" si="44"/>
        <v>1302495.3999999999</v>
      </c>
      <c r="BQ92" s="5">
        <f t="shared" ref="BQ92:CB92" si="45">BQ90/BQ86</f>
        <v>2727520.7166666668</v>
      </c>
      <c r="BR92" s="5">
        <f t="shared" si="45"/>
        <v>1949017.6874999998</v>
      </c>
      <c r="BS92" s="5">
        <f t="shared" si="45"/>
        <v>756752.93749999988</v>
      </c>
      <c r="BT92" s="5">
        <f t="shared" si="45"/>
        <v>5768288.2500000009</v>
      </c>
      <c r="BU92" s="5">
        <f t="shared" si="45"/>
        <v>1324474.5</v>
      </c>
      <c r="BV92" s="5">
        <f t="shared" si="45"/>
        <v>1122443.3333333335</v>
      </c>
      <c r="BW92" s="5">
        <f t="shared" si="45"/>
        <v>341605.43749999994</v>
      </c>
      <c r="BX92" s="5">
        <f t="shared" si="45"/>
        <v>690176.99999999988</v>
      </c>
      <c r="BY92" s="5">
        <f t="shared" si="45"/>
        <v>4527048.5333333341</v>
      </c>
      <c r="BZ92" s="5">
        <f t="shared" si="45"/>
        <v>470060</v>
      </c>
      <c r="CA92" s="5">
        <f t="shared" si="45"/>
        <v>776745.76249999995</v>
      </c>
      <c r="CB92" s="5">
        <f t="shared" si="45"/>
        <v>2122433.3124999995</v>
      </c>
    </row>
    <row r="93" spans="1:82" x14ac:dyDescent="0.2">
      <c r="B93" s="30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</row>
    <row r="94" spans="1:82" s="32" customFormat="1" x14ac:dyDescent="0.2">
      <c r="A94" s="21"/>
      <c r="B94" s="32" t="s">
        <v>92</v>
      </c>
      <c r="C94" s="15">
        <f>C92*$C86</f>
        <v>87233001.819999993</v>
      </c>
      <c r="D94" s="15">
        <f>D92*$C86</f>
        <v>13506890.959066991</v>
      </c>
      <c r="E94" s="15">
        <f t="shared" ref="E94:BP94" si="46">E92*$C86</f>
        <v>1393385.289437688</v>
      </c>
      <c r="F94" s="15">
        <f t="shared" si="46"/>
        <v>212411.75600647923</v>
      </c>
      <c r="G94" s="15">
        <f t="shared" si="46"/>
        <v>173676.15166318658</v>
      </c>
      <c r="H94" s="15">
        <f t="shared" si="46"/>
        <v>776848.93521927716</v>
      </c>
      <c r="I94" s="15">
        <f t="shared" si="46"/>
        <v>1551125.1127207556</v>
      </c>
      <c r="J94" s="15">
        <f t="shared" si="46"/>
        <v>664356.78686482436</v>
      </c>
      <c r="K94" s="15">
        <f t="shared" si="46"/>
        <v>142496.8054512713</v>
      </c>
      <c r="L94" s="15">
        <f t="shared" si="46"/>
        <v>315774.24849906343</v>
      </c>
      <c r="M94" s="15">
        <f t="shared" si="46"/>
        <v>174838.94120510906</v>
      </c>
      <c r="N94" s="15">
        <f t="shared" si="46"/>
        <v>332455.96264295373</v>
      </c>
      <c r="O94" s="15">
        <f t="shared" si="46"/>
        <v>1205361.3149163059</v>
      </c>
      <c r="P94" s="15">
        <f t="shared" si="46"/>
        <v>1401941.9575187122</v>
      </c>
      <c r="Q94" s="15">
        <f t="shared" si="46"/>
        <v>1308917.4817119902</v>
      </c>
      <c r="R94" s="15">
        <f t="shared" si="46"/>
        <v>537932.45491028542</v>
      </c>
      <c r="S94" s="15">
        <f t="shared" si="46"/>
        <v>980958.07028232026</v>
      </c>
      <c r="T94" s="15">
        <f t="shared" si="46"/>
        <v>1356367.8609651756</v>
      </c>
      <c r="U94" s="15">
        <f t="shared" si="46"/>
        <v>713317.85776437132</v>
      </c>
      <c r="V94" s="15">
        <f t="shared" si="46"/>
        <v>972519.89336780575</v>
      </c>
      <c r="W94" s="15">
        <f t="shared" si="46"/>
        <v>1171919.8394279992</v>
      </c>
      <c r="X94" s="15">
        <f t="shared" si="46"/>
        <v>1918957.1939583372</v>
      </c>
      <c r="Y94" s="15">
        <f t="shared" si="46"/>
        <v>644494.00765583408</v>
      </c>
      <c r="Z94" s="15">
        <f t="shared" si="46"/>
        <v>332373.01561817917</v>
      </c>
      <c r="AA94" s="15">
        <f t="shared" si="46"/>
        <v>1951803.6382898062</v>
      </c>
      <c r="AB94" s="15">
        <f t="shared" si="46"/>
        <v>229677.07421708561</v>
      </c>
      <c r="AC94" s="15">
        <f t="shared" si="46"/>
        <v>1473554.7700900042</v>
      </c>
      <c r="AD94" s="15">
        <f t="shared" si="46"/>
        <v>412208.17076241079</v>
      </c>
      <c r="AE94" s="15">
        <f t="shared" si="46"/>
        <v>1100105.3203417144</v>
      </c>
      <c r="AF94" s="15">
        <f t="shared" si="46"/>
        <v>517952.15283338743</v>
      </c>
      <c r="AG94" s="15">
        <f t="shared" si="46"/>
        <v>1031981.4713748485</v>
      </c>
      <c r="AH94" s="15">
        <f t="shared" si="46"/>
        <v>2164052.5276381467</v>
      </c>
      <c r="AI94" s="15">
        <f t="shared" si="46"/>
        <v>816707.78052305977</v>
      </c>
      <c r="AJ94" s="15">
        <f t="shared" si="46"/>
        <v>807033.03379637911</v>
      </c>
      <c r="AK94" s="15">
        <f t="shared" si="46"/>
        <v>990192.13906567043</v>
      </c>
      <c r="AL94" s="15">
        <f t="shared" si="46"/>
        <v>845855.78501380212</v>
      </c>
      <c r="AM94" s="15">
        <f t="shared" si="46"/>
        <v>1310504.67478099</v>
      </c>
      <c r="AN94" s="15">
        <f t="shared" si="46"/>
        <v>356325.10648105544</v>
      </c>
      <c r="AO94" s="15">
        <f t="shared" si="46"/>
        <v>1489423.7696351397</v>
      </c>
      <c r="AP94" s="15">
        <f t="shared" si="46"/>
        <v>943117.9525688336</v>
      </c>
      <c r="AQ94" s="15">
        <f t="shared" si="46"/>
        <v>956574.69863904675</v>
      </c>
      <c r="AR94" s="15">
        <f t="shared" si="46"/>
        <v>734479.5862147077</v>
      </c>
      <c r="AS94" s="15">
        <f t="shared" si="46"/>
        <v>430027.30035836634</v>
      </c>
      <c r="AT94" s="15">
        <f t="shared" si="46"/>
        <v>337662.46339107049</v>
      </c>
      <c r="AU94" s="15">
        <f t="shared" si="46"/>
        <v>582858.68095227773</v>
      </c>
      <c r="AV94" s="15">
        <f t="shared" si="46"/>
        <v>466163.54793794081</v>
      </c>
      <c r="AW94" s="15">
        <f t="shared" si="46"/>
        <v>674460.93902250263</v>
      </c>
      <c r="AX94" s="15">
        <f t="shared" si="46"/>
        <v>989275.39069850137</v>
      </c>
      <c r="AY94" s="15">
        <f t="shared" si="46"/>
        <v>1080291.6385383168</v>
      </c>
      <c r="AZ94" s="15">
        <f t="shared" si="46"/>
        <v>681201.2160056266</v>
      </c>
      <c r="BA94" s="15">
        <f t="shared" si="46"/>
        <v>6217808.8401913084</v>
      </c>
      <c r="BB94" s="15">
        <f t="shared" si="46"/>
        <v>1649628.3882585068</v>
      </c>
      <c r="BC94" s="15">
        <f t="shared" si="46"/>
        <v>688099.73106291215</v>
      </c>
      <c r="BD94" s="15">
        <f t="shared" si="46"/>
        <v>497661.5431369078</v>
      </c>
      <c r="BE94" s="15">
        <f t="shared" si="46"/>
        <v>722737.58613830071</v>
      </c>
      <c r="BF94" s="15">
        <f t="shared" si="46"/>
        <v>1180758.8161328998</v>
      </c>
      <c r="BG94" s="15">
        <f t="shared" si="46"/>
        <v>240761.57912717495</v>
      </c>
      <c r="BH94" s="15">
        <f t="shared" si="46"/>
        <v>158470.33458037069</v>
      </c>
      <c r="BI94" s="15">
        <f t="shared" si="46"/>
        <v>483562.24636433448</v>
      </c>
      <c r="BJ94" s="15">
        <f t="shared" si="46"/>
        <v>131017.18804679831</v>
      </c>
      <c r="BK94" s="15">
        <f t="shared" si="46"/>
        <v>652306.55867757951</v>
      </c>
      <c r="BL94" s="15">
        <f t="shared" si="46"/>
        <v>213340.97267642294</v>
      </c>
      <c r="BM94" s="15">
        <f t="shared" si="46"/>
        <v>342459.79031583585</v>
      </c>
      <c r="BN94" s="15">
        <f t="shared" si="46"/>
        <v>1446588.2373520902</v>
      </c>
      <c r="BO94" s="15">
        <f t="shared" si="46"/>
        <v>730242.81318344467</v>
      </c>
      <c r="BP94" s="15">
        <f t="shared" si="46"/>
        <v>911714.0777438645</v>
      </c>
      <c r="BQ94" s="15">
        <f t="shared" ref="BQ94:CB94" si="47">BQ92*$C86</f>
        <v>1909196.0207483531</v>
      </c>
      <c r="BR94" s="15">
        <f t="shared" si="47"/>
        <v>1364263.4465085573</v>
      </c>
      <c r="BS94" s="15">
        <f t="shared" si="47"/>
        <v>529708.05616109876</v>
      </c>
      <c r="BT94" s="15">
        <f t="shared" si="47"/>
        <v>4037656.9483543057</v>
      </c>
      <c r="BU94" s="15">
        <f t="shared" si="47"/>
        <v>927098.89590609388</v>
      </c>
      <c r="BV94" s="15">
        <f t="shared" si="47"/>
        <v>785682.15171412448</v>
      </c>
      <c r="BW94" s="15">
        <f t="shared" si="47"/>
        <v>239115.2294300631</v>
      </c>
      <c r="BX94" s="15">
        <f t="shared" si="47"/>
        <v>483106.57145892957</v>
      </c>
      <c r="BY94" s="15">
        <f t="shared" si="47"/>
        <v>3168820.3109736242</v>
      </c>
      <c r="BZ94" s="15">
        <f t="shared" si="47"/>
        <v>329030.19802164444</v>
      </c>
      <c r="CA94" s="15">
        <f t="shared" si="47"/>
        <v>543702.53169350326</v>
      </c>
      <c r="CB94" s="15">
        <f t="shared" si="47"/>
        <v>1485650.0299953402</v>
      </c>
      <c r="CC94" s="21"/>
      <c r="CD94" s="3"/>
    </row>
    <row r="95" spans="1:82" x14ac:dyDescent="0.2">
      <c r="B95" s="30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</row>
    <row r="96" spans="1:82" s="32" customFormat="1" x14ac:dyDescent="0.2">
      <c r="A96" s="25" t="s">
        <v>171</v>
      </c>
      <c r="B96" s="26" t="s">
        <v>88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27"/>
      <c r="CD96" s="35"/>
    </row>
    <row r="97" spans="1:82" x14ac:dyDescent="0.2">
      <c r="B97" s="30" t="s">
        <v>84</v>
      </c>
      <c r="C97" s="5">
        <f t="shared" ref="C97:C108" si="48">SUM(D97:CB97)</f>
        <v>1469404.5299999996</v>
      </c>
      <c r="D97" s="12">
        <v>313730.09999999998</v>
      </c>
      <c r="E97" s="12">
        <v>28928.5</v>
      </c>
      <c r="F97" s="12">
        <v>3141</v>
      </c>
      <c r="G97" s="12">
        <v>2504.1999999999998</v>
      </c>
      <c r="H97" s="12">
        <v>10797</v>
      </c>
      <c r="I97" s="12">
        <v>14712</v>
      </c>
      <c r="J97" s="12">
        <v>13212</v>
      </c>
      <c r="K97" s="12">
        <v>2109.6</v>
      </c>
      <c r="L97" s="12">
        <v>0</v>
      </c>
      <c r="M97" s="12">
        <v>2700.35</v>
      </c>
      <c r="N97" s="12">
        <v>6203.45</v>
      </c>
      <c r="O97" s="12">
        <v>14819.4</v>
      </c>
      <c r="P97" s="12">
        <v>39129.800000000003</v>
      </c>
      <c r="Q97" s="12">
        <v>20072.3</v>
      </c>
      <c r="R97" s="12">
        <v>11306</v>
      </c>
      <c r="S97" s="12">
        <v>12532.7</v>
      </c>
      <c r="T97" s="12">
        <v>28238.55</v>
      </c>
      <c r="U97" s="12">
        <v>7480.9</v>
      </c>
      <c r="V97" s="12">
        <v>9157.52</v>
      </c>
      <c r="W97" s="12">
        <v>15641.25</v>
      </c>
      <c r="X97" s="12">
        <v>16417</v>
      </c>
      <c r="Y97" s="12">
        <v>7751</v>
      </c>
      <c r="Z97" s="12">
        <v>3796.75</v>
      </c>
      <c r="AA97" s="12">
        <v>39752.050000000003</v>
      </c>
      <c r="AB97" s="12">
        <v>1998.45</v>
      </c>
      <c r="AC97" s="12">
        <v>24352</v>
      </c>
      <c r="AD97" s="12">
        <v>3986.6</v>
      </c>
      <c r="AE97" s="12">
        <v>21069.55</v>
      </c>
      <c r="AF97" s="12">
        <v>6893.4</v>
      </c>
      <c r="AG97" s="12">
        <v>22083.8</v>
      </c>
      <c r="AH97" s="12">
        <v>32262.2</v>
      </c>
      <c r="AI97" s="12">
        <v>6401.7</v>
      </c>
      <c r="AJ97" s="12">
        <v>9030.4500000000007</v>
      </c>
      <c r="AK97" s="12">
        <v>12280.65</v>
      </c>
      <c r="AL97" s="12">
        <v>9201</v>
      </c>
      <c r="AM97" s="12">
        <v>11412.8</v>
      </c>
      <c r="AN97" s="12">
        <v>26016.1</v>
      </c>
      <c r="AO97" s="12">
        <v>21874.5</v>
      </c>
      <c r="AP97" s="12">
        <v>11647.2</v>
      </c>
      <c r="AQ97" s="12">
        <v>11539.8</v>
      </c>
      <c r="AR97" s="12">
        <v>187.6</v>
      </c>
      <c r="AS97" s="12">
        <v>5474.7</v>
      </c>
      <c r="AT97" s="12">
        <v>6150.2</v>
      </c>
      <c r="AU97" s="12">
        <v>6676.75</v>
      </c>
      <c r="AV97" s="12">
        <v>5638.2</v>
      </c>
      <c r="AW97" s="12">
        <v>7023.95</v>
      </c>
      <c r="AX97" s="12">
        <v>10301.9</v>
      </c>
      <c r="AY97" s="12">
        <v>22587.55</v>
      </c>
      <c r="AZ97" s="12">
        <v>13445.3</v>
      </c>
      <c r="BA97" s="12">
        <v>91629.05</v>
      </c>
      <c r="BB97" s="12">
        <v>17504.150000000001</v>
      </c>
      <c r="BC97" s="12">
        <v>7260.4</v>
      </c>
      <c r="BD97" s="12">
        <v>19283.55</v>
      </c>
      <c r="BE97" s="12">
        <v>12384.32</v>
      </c>
      <c r="BF97" s="12">
        <v>32213.4</v>
      </c>
      <c r="BG97" s="12">
        <v>4051</v>
      </c>
      <c r="BH97" s="12">
        <v>1676.4</v>
      </c>
      <c r="BI97" s="12">
        <v>16381.95</v>
      </c>
      <c r="BJ97" s="12">
        <v>4066.1</v>
      </c>
      <c r="BK97" s="12">
        <v>15734.2</v>
      </c>
      <c r="BL97" s="12">
        <v>6950</v>
      </c>
      <c r="BM97" s="12">
        <v>8874.24</v>
      </c>
      <c r="BN97" s="12">
        <v>28236.35</v>
      </c>
      <c r="BO97" s="12">
        <v>6667.05</v>
      </c>
      <c r="BP97" s="12">
        <v>12268.68</v>
      </c>
      <c r="BQ97" s="12">
        <v>27474.7</v>
      </c>
      <c r="BR97" s="12">
        <v>27596.35</v>
      </c>
      <c r="BS97" s="12">
        <v>12108.55</v>
      </c>
      <c r="BT97" s="12">
        <v>95559.2</v>
      </c>
      <c r="BU97" s="12">
        <v>8137.9</v>
      </c>
      <c r="BV97" s="12">
        <v>9789.35</v>
      </c>
      <c r="BW97" s="12">
        <v>1307.4000000000001</v>
      </c>
      <c r="BX97" s="12">
        <v>7942.45</v>
      </c>
      <c r="BY97" s="12">
        <v>28479.18</v>
      </c>
      <c r="BZ97" s="12">
        <v>5299.4</v>
      </c>
      <c r="CA97" s="12">
        <v>11073.89</v>
      </c>
      <c r="CB97" s="12">
        <v>15785.55</v>
      </c>
      <c r="CD97" s="3" t="s">
        <v>116</v>
      </c>
    </row>
    <row r="98" spans="1:82" x14ac:dyDescent="0.2">
      <c r="B98" s="30" t="s">
        <v>85</v>
      </c>
      <c r="C98" s="5">
        <f t="shared" si="48"/>
        <v>27.15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0.2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26.95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D98" s="3" t="s">
        <v>116</v>
      </c>
    </row>
    <row r="99" spans="1:82" s="32" customFormat="1" x14ac:dyDescent="0.2">
      <c r="A99" s="21"/>
      <c r="B99" s="32" t="s">
        <v>93</v>
      </c>
      <c r="C99" s="15">
        <f t="shared" si="48"/>
        <v>1469377.3799999994</v>
      </c>
      <c r="D99" s="15">
        <f>D97-D98</f>
        <v>313730.09999999998</v>
      </c>
      <c r="E99" s="15">
        <f t="shared" ref="E99:BP99" si="49">E97-E98</f>
        <v>28928.5</v>
      </c>
      <c r="F99" s="15">
        <f t="shared" si="49"/>
        <v>3141</v>
      </c>
      <c r="G99" s="15">
        <f t="shared" si="49"/>
        <v>2504.1999999999998</v>
      </c>
      <c r="H99" s="15">
        <f t="shared" si="49"/>
        <v>10797</v>
      </c>
      <c r="I99" s="15">
        <f t="shared" si="49"/>
        <v>14712</v>
      </c>
      <c r="J99" s="15">
        <f t="shared" si="49"/>
        <v>13212</v>
      </c>
      <c r="K99" s="15">
        <f t="shared" si="49"/>
        <v>2109.6</v>
      </c>
      <c r="L99" s="15">
        <f t="shared" si="49"/>
        <v>0</v>
      </c>
      <c r="M99" s="15">
        <f t="shared" si="49"/>
        <v>2700.35</v>
      </c>
      <c r="N99" s="15">
        <f t="shared" si="49"/>
        <v>6203.45</v>
      </c>
      <c r="O99" s="15">
        <f t="shared" si="49"/>
        <v>14819.4</v>
      </c>
      <c r="P99" s="15">
        <f t="shared" si="49"/>
        <v>39129.800000000003</v>
      </c>
      <c r="Q99" s="15">
        <f t="shared" si="49"/>
        <v>20072.3</v>
      </c>
      <c r="R99" s="15">
        <f t="shared" si="49"/>
        <v>11306</v>
      </c>
      <c r="S99" s="15">
        <f t="shared" si="49"/>
        <v>12532.7</v>
      </c>
      <c r="T99" s="15">
        <f t="shared" si="49"/>
        <v>28238.55</v>
      </c>
      <c r="U99" s="15">
        <f t="shared" si="49"/>
        <v>7480.9</v>
      </c>
      <c r="V99" s="15">
        <f t="shared" si="49"/>
        <v>9157.52</v>
      </c>
      <c r="W99" s="15">
        <f t="shared" si="49"/>
        <v>15641.25</v>
      </c>
      <c r="X99" s="15">
        <f t="shared" si="49"/>
        <v>16417</v>
      </c>
      <c r="Y99" s="15">
        <f t="shared" si="49"/>
        <v>7751</v>
      </c>
      <c r="Z99" s="15">
        <f t="shared" si="49"/>
        <v>3796.75</v>
      </c>
      <c r="AA99" s="15">
        <f t="shared" si="49"/>
        <v>39752.050000000003</v>
      </c>
      <c r="AB99" s="15">
        <f t="shared" si="49"/>
        <v>1998.45</v>
      </c>
      <c r="AC99" s="15">
        <f t="shared" si="49"/>
        <v>24352</v>
      </c>
      <c r="AD99" s="15">
        <f t="shared" si="49"/>
        <v>3986.6</v>
      </c>
      <c r="AE99" s="15">
        <f t="shared" si="49"/>
        <v>21069.35</v>
      </c>
      <c r="AF99" s="15">
        <f t="shared" si="49"/>
        <v>6893.4</v>
      </c>
      <c r="AG99" s="15">
        <f t="shared" si="49"/>
        <v>22083.8</v>
      </c>
      <c r="AH99" s="15">
        <f t="shared" si="49"/>
        <v>32262.2</v>
      </c>
      <c r="AI99" s="15">
        <f t="shared" si="49"/>
        <v>6401.7</v>
      </c>
      <c r="AJ99" s="15">
        <f t="shared" si="49"/>
        <v>9030.4500000000007</v>
      </c>
      <c r="AK99" s="15">
        <f t="shared" si="49"/>
        <v>12280.65</v>
      </c>
      <c r="AL99" s="15">
        <f t="shared" si="49"/>
        <v>9201</v>
      </c>
      <c r="AM99" s="15">
        <f t="shared" si="49"/>
        <v>11412.8</v>
      </c>
      <c r="AN99" s="15">
        <f t="shared" si="49"/>
        <v>26016.1</v>
      </c>
      <c r="AO99" s="15">
        <f t="shared" si="49"/>
        <v>21874.5</v>
      </c>
      <c r="AP99" s="15">
        <f t="shared" si="49"/>
        <v>11647.2</v>
      </c>
      <c r="AQ99" s="15">
        <f t="shared" si="49"/>
        <v>11539.8</v>
      </c>
      <c r="AR99" s="15">
        <f t="shared" si="49"/>
        <v>187.6</v>
      </c>
      <c r="AS99" s="15">
        <f t="shared" si="49"/>
        <v>5474.7</v>
      </c>
      <c r="AT99" s="15">
        <f t="shared" si="49"/>
        <v>6150.2</v>
      </c>
      <c r="AU99" s="15">
        <f t="shared" si="49"/>
        <v>6676.75</v>
      </c>
      <c r="AV99" s="15">
        <f t="shared" si="49"/>
        <v>5638.2</v>
      </c>
      <c r="AW99" s="15">
        <f t="shared" si="49"/>
        <v>7023.95</v>
      </c>
      <c r="AX99" s="15">
        <f t="shared" si="49"/>
        <v>10301.9</v>
      </c>
      <c r="AY99" s="15">
        <f t="shared" si="49"/>
        <v>22587.55</v>
      </c>
      <c r="AZ99" s="15">
        <f t="shared" si="49"/>
        <v>13445.3</v>
      </c>
      <c r="BA99" s="15">
        <f t="shared" si="49"/>
        <v>91629.05</v>
      </c>
      <c r="BB99" s="15">
        <f t="shared" si="49"/>
        <v>17504.150000000001</v>
      </c>
      <c r="BC99" s="15">
        <f t="shared" si="49"/>
        <v>7260.4</v>
      </c>
      <c r="BD99" s="15">
        <f t="shared" si="49"/>
        <v>19283.55</v>
      </c>
      <c r="BE99" s="15">
        <f t="shared" si="49"/>
        <v>12384.32</v>
      </c>
      <c r="BF99" s="15">
        <f t="shared" si="49"/>
        <v>32213.4</v>
      </c>
      <c r="BG99" s="15">
        <f t="shared" si="49"/>
        <v>4051</v>
      </c>
      <c r="BH99" s="15">
        <f t="shared" si="49"/>
        <v>1676.4</v>
      </c>
      <c r="BI99" s="15">
        <f t="shared" si="49"/>
        <v>16381.95</v>
      </c>
      <c r="BJ99" s="15">
        <f t="shared" si="49"/>
        <v>4066.1</v>
      </c>
      <c r="BK99" s="15">
        <f t="shared" si="49"/>
        <v>15734.2</v>
      </c>
      <c r="BL99" s="15">
        <f t="shared" si="49"/>
        <v>6950</v>
      </c>
      <c r="BM99" s="15">
        <f t="shared" si="49"/>
        <v>8874.24</v>
      </c>
      <c r="BN99" s="15">
        <f t="shared" si="49"/>
        <v>28209.399999999998</v>
      </c>
      <c r="BO99" s="15">
        <f t="shared" si="49"/>
        <v>6667.05</v>
      </c>
      <c r="BP99" s="15">
        <f t="shared" si="49"/>
        <v>12268.68</v>
      </c>
      <c r="BQ99" s="15">
        <f t="shared" ref="BQ99:CB99" si="50">BQ97-BQ98</f>
        <v>27474.7</v>
      </c>
      <c r="BR99" s="15">
        <f t="shared" si="50"/>
        <v>27596.35</v>
      </c>
      <c r="BS99" s="15">
        <f t="shared" si="50"/>
        <v>12108.55</v>
      </c>
      <c r="BT99" s="15">
        <f t="shared" si="50"/>
        <v>95559.2</v>
      </c>
      <c r="BU99" s="15">
        <f t="shared" si="50"/>
        <v>8137.9</v>
      </c>
      <c r="BV99" s="15">
        <f t="shared" si="50"/>
        <v>9789.35</v>
      </c>
      <c r="BW99" s="15">
        <f t="shared" si="50"/>
        <v>1307.4000000000001</v>
      </c>
      <c r="BX99" s="15">
        <f t="shared" si="50"/>
        <v>7942.45</v>
      </c>
      <c r="BY99" s="15">
        <f t="shared" si="50"/>
        <v>28479.18</v>
      </c>
      <c r="BZ99" s="15">
        <f t="shared" si="50"/>
        <v>5299.4</v>
      </c>
      <c r="CA99" s="15">
        <f t="shared" si="50"/>
        <v>11073.89</v>
      </c>
      <c r="CB99" s="15">
        <f t="shared" si="50"/>
        <v>15785.55</v>
      </c>
      <c r="CC99" s="21"/>
      <c r="CD99" s="21"/>
    </row>
    <row r="100" spans="1:82" x14ac:dyDescent="0.2">
      <c r="B100" s="3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</row>
    <row r="101" spans="1:82" s="32" customFormat="1" x14ac:dyDescent="0.2">
      <c r="A101" s="25" t="s">
        <v>172</v>
      </c>
      <c r="B101" s="26" t="s">
        <v>2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27"/>
      <c r="CD101" s="35"/>
    </row>
    <row r="102" spans="1:82" x14ac:dyDescent="0.2">
      <c r="B102" s="30" t="s">
        <v>84</v>
      </c>
      <c r="C102" s="5">
        <f t="shared" si="48"/>
        <v>50516231.639999986</v>
      </c>
      <c r="D102" s="12">
        <v>7759040.5999999996</v>
      </c>
      <c r="E102" s="12">
        <v>602568.6</v>
      </c>
      <c r="F102" s="12">
        <v>201931</v>
      </c>
      <c r="G102" s="12">
        <v>50129.25</v>
      </c>
      <c r="H102" s="12">
        <v>512609.2</v>
      </c>
      <c r="I102" s="12">
        <v>858072</v>
      </c>
      <c r="J102" s="12">
        <v>371539</v>
      </c>
      <c r="K102" s="12">
        <v>70162.7</v>
      </c>
      <c r="L102" s="12">
        <v>51330.75</v>
      </c>
      <c r="M102" s="12">
        <v>114777.1</v>
      </c>
      <c r="N102" s="12">
        <v>121134.85</v>
      </c>
      <c r="O102" s="12">
        <v>1319320.3</v>
      </c>
      <c r="P102" s="12">
        <v>820566</v>
      </c>
      <c r="Q102" s="12">
        <v>633640.85</v>
      </c>
      <c r="R102" s="12">
        <v>268822</v>
      </c>
      <c r="S102" s="12">
        <v>750192.65</v>
      </c>
      <c r="T102" s="12">
        <v>922424.75</v>
      </c>
      <c r="U102" s="12">
        <v>312553.09999999998</v>
      </c>
      <c r="V102" s="12">
        <v>990552.25</v>
      </c>
      <c r="W102" s="12">
        <v>627767.19999999995</v>
      </c>
      <c r="X102" s="12">
        <v>897465</v>
      </c>
      <c r="Y102" s="12">
        <v>505315</v>
      </c>
      <c r="Z102" s="12">
        <v>143506.5</v>
      </c>
      <c r="AA102" s="12">
        <v>1142091.1499999999</v>
      </c>
      <c r="AB102" s="12">
        <v>107485.95</v>
      </c>
      <c r="AC102" s="12">
        <v>491935</v>
      </c>
      <c r="AD102" s="12">
        <v>232262.6</v>
      </c>
      <c r="AE102" s="12">
        <v>480804.6</v>
      </c>
      <c r="AF102" s="12">
        <v>473747.95</v>
      </c>
      <c r="AG102" s="12">
        <v>658544.65</v>
      </c>
      <c r="AH102" s="12">
        <v>1161784.69</v>
      </c>
      <c r="AI102" s="12">
        <v>634401.94999999995</v>
      </c>
      <c r="AJ102" s="12">
        <v>272257.5</v>
      </c>
      <c r="AK102" s="12">
        <v>471618.5</v>
      </c>
      <c r="AL102" s="12">
        <v>298238</v>
      </c>
      <c r="AM102" s="12">
        <v>750602.95</v>
      </c>
      <c r="AN102" s="12">
        <v>97089.3</v>
      </c>
      <c r="AO102" s="12">
        <v>477791.5</v>
      </c>
      <c r="AP102" s="12">
        <v>650341.30000000005</v>
      </c>
      <c r="AQ102" s="12">
        <v>371646.25</v>
      </c>
      <c r="AR102" s="12">
        <v>342878.05</v>
      </c>
      <c r="AS102" s="12">
        <v>314674.84999999998</v>
      </c>
      <c r="AT102" s="12">
        <v>213517</v>
      </c>
      <c r="AU102" s="12">
        <v>304452.84999999998</v>
      </c>
      <c r="AV102" s="12">
        <v>228136.6</v>
      </c>
      <c r="AW102" s="12">
        <v>510306.5</v>
      </c>
      <c r="AX102" s="12">
        <v>535795.85</v>
      </c>
      <c r="AY102" s="12">
        <v>735049.45</v>
      </c>
      <c r="AZ102" s="12">
        <v>413855.55</v>
      </c>
      <c r="BA102" s="12">
        <v>3530992.4</v>
      </c>
      <c r="BB102" s="12">
        <v>1057959.8</v>
      </c>
      <c r="BC102" s="12">
        <v>254062.05</v>
      </c>
      <c r="BD102" s="12">
        <v>312094.3</v>
      </c>
      <c r="BE102" s="12">
        <v>475510.7</v>
      </c>
      <c r="BF102" s="12">
        <v>1012310.95</v>
      </c>
      <c r="BG102" s="12">
        <v>91121.5</v>
      </c>
      <c r="BH102" s="12">
        <v>60141.95</v>
      </c>
      <c r="BI102" s="12">
        <v>304938.75</v>
      </c>
      <c r="BJ102" s="12">
        <v>66087</v>
      </c>
      <c r="BK102" s="12">
        <v>532642.80000000005</v>
      </c>
      <c r="BL102" s="12">
        <v>76747</v>
      </c>
      <c r="BM102" s="12">
        <v>183961.9</v>
      </c>
      <c r="BN102" s="12">
        <v>810471.7</v>
      </c>
      <c r="BO102" s="12">
        <v>207294.05</v>
      </c>
      <c r="BP102" s="12">
        <v>531672.69999999995</v>
      </c>
      <c r="BQ102" s="12">
        <v>1521470.8</v>
      </c>
      <c r="BR102" s="12">
        <v>774987</v>
      </c>
      <c r="BS102" s="12">
        <v>327777</v>
      </c>
      <c r="BT102" s="12">
        <v>3037553.9</v>
      </c>
      <c r="BU102" s="12">
        <v>724658.35</v>
      </c>
      <c r="BV102" s="12">
        <v>894400.4</v>
      </c>
      <c r="BW102" s="12">
        <v>81215.55</v>
      </c>
      <c r="BX102" s="12">
        <v>307108.25</v>
      </c>
      <c r="BY102" s="12">
        <v>930792.05</v>
      </c>
      <c r="BZ102" s="12">
        <v>292147</v>
      </c>
      <c r="CA102" s="12">
        <v>228464.8</v>
      </c>
      <c r="CB102" s="12">
        <v>610915.80000000005</v>
      </c>
      <c r="CD102" s="3" t="s">
        <v>116</v>
      </c>
    </row>
    <row r="103" spans="1:82" x14ac:dyDescent="0.2">
      <c r="B103" s="30" t="s">
        <v>85</v>
      </c>
      <c r="C103" s="5">
        <f t="shared" si="48"/>
        <v>0.85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0.85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D103" s="3" t="s">
        <v>116</v>
      </c>
    </row>
    <row r="104" spans="1:82" s="32" customFormat="1" x14ac:dyDescent="0.2">
      <c r="A104" s="21"/>
      <c r="B104" s="32" t="s">
        <v>93</v>
      </c>
      <c r="C104" s="15">
        <f t="shared" si="48"/>
        <v>50516230.789999992</v>
      </c>
      <c r="D104" s="15">
        <f>D102-D103</f>
        <v>7759040.5999999996</v>
      </c>
      <c r="E104" s="15">
        <f t="shared" ref="E104:BP104" si="51">E102-E103</f>
        <v>602568.6</v>
      </c>
      <c r="F104" s="15">
        <f t="shared" si="51"/>
        <v>201931</v>
      </c>
      <c r="G104" s="15">
        <f t="shared" si="51"/>
        <v>50129.25</v>
      </c>
      <c r="H104" s="15">
        <f t="shared" si="51"/>
        <v>512609.2</v>
      </c>
      <c r="I104" s="15">
        <f t="shared" si="51"/>
        <v>858072</v>
      </c>
      <c r="J104" s="15">
        <f t="shared" si="51"/>
        <v>371539</v>
      </c>
      <c r="K104" s="15">
        <f t="shared" si="51"/>
        <v>70162.7</v>
      </c>
      <c r="L104" s="15">
        <f t="shared" si="51"/>
        <v>51330.75</v>
      </c>
      <c r="M104" s="15">
        <f t="shared" si="51"/>
        <v>114777.1</v>
      </c>
      <c r="N104" s="15">
        <f t="shared" si="51"/>
        <v>121134.85</v>
      </c>
      <c r="O104" s="15">
        <f t="shared" si="51"/>
        <v>1319320.3</v>
      </c>
      <c r="P104" s="15">
        <f t="shared" si="51"/>
        <v>820566</v>
      </c>
      <c r="Q104" s="15">
        <f t="shared" si="51"/>
        <v>633640.85</v>
      </c>
      <c r="R104" s="15">
        <f t="shared" si="51"/>
        <v>268822</v>
      </c>
      <c r="S104" s="15">
        <f t="shared" si="51"/>
        <v>750192.65</v>
      </c>
      <c r="T104" s="15">
        <f t="shared" si="51"/>
        <v>922424.75</v>
      </c>
      <c r="U104" s="15">
        <f t="shared" si="51"/>
        <v>312553.09999999998</v>
      </c>
      <c r="V104" s="15">
        <f t="shared" si="51"/>
        <v>990552.25</v>
      </c>
      <c r="W104" s="15">
        <f t="shared" si="51"/>
        <v>627767.19999999995</v>
      </c>
      <c r="X104" s="15">
        <f t="shared" si="51"/>
        <v>897465</v>
      </c>
      <c r="Y104" s="15">
        <f t="shared" si="51"/>
        <v>505315</v>
      </c>
      <c r="Z104" s="15">
        <f t="shared" si="51"/>
        <v>143506.5</v>
      </c>
      <c r="AA104" s="15">
        <f t="shared" si="51"/>
        <v>1142091.1499999999</v>
      </c>
      <c r="AB104" s="15">
        <f t="shared" si="51"/>
        <v>107485.95</v>
      </c>
      <c r="AC104" s="15">
        <f t="shared" si="51"/>
        <v>491935</v>
      </c>
      <c r="AD104" s="15">
        <f t="shared" si="51"/>
        <v>232262.6</v>
      </c>
      <c r="AE104" s="15">
        <f t="shared" si="51"/>
        <v>480804.6</v>
      </c>
      <c r="AF104" s="15">
        <f t="shared" si="51"/>
        <v>473747.95</v>
      </c>
      <c r="AG104" s="15">
        <f t="shared" si="51"/>
        <v>658544.65</v>
      </c>
      <c r="AH104" s="15">
        <f t="shared" si="51"/>
        <v>1161784.69</v>
      </c>
      <c r="AI104" s="15">
        <f t="shared" si="51"/>
        <v>634401.94999999995</v>
      </c>
      <c r="AJ104" s="15">
        <f t="shared" si="51"/>
        <v>272257.5</v>
      </c>
      <c r="AK104" s="15">
        <f t="shared" si="51"/>
        <v>471618.5</v>
      </c>
      <c r="AL104" s="15">
        <f t="shared" si="51"/>
        <v>298238</v>
      </c>
      <c r="AM104" s="15">
        <f t="shared" si="51"/>
        <v>750602.95</v>
      </c>
      <c r="AN104" s="15">
        <f t="shared" si="51"/>
        <v>97089.3</v>
      </c>
      <c r="AO104" s="15">
        <f t="shared" si="51"/>
        <v>477791.5</v>
      </c>
      <c r="AP104" s="15">
        <f t="shared" si="51"/>
        <v>650341.30000000005</v>
      </c>
      <c r="AQ104" s="15">
        <f t="shared" si="51"/>
        <v>371646.25</v>
      </c>
      <c r="AR104" s="15">
        <f t="shared" si="51"/>
        <v>342878.05</v>
      </c>
      <c r="AS104" s="15">
        <f t="shared" si="51"/>
        <v>314674.84999999998</v>
      </c>
      <c r="AT104" s="15">
        <f t="shared" si="51"/>
        <v>213517</v>
      </c>
      <c r="AU104" s="15">
        <f t="shared" si="51"/>
        <v>304452.84999999998</v>
      </c>
      <c r="AV104" s="15">
        <f t="shared" si="51"/>
        <v>228136.6</v>
      </c>
      <c r="AW104" s="15">
        <f t="shared" si="51"/>
        <v>510306.5</v>
      </c>
      <c r="AX104" s="15">
        <f t="shared" si="51"/>
        <v>535795.85</v>
      </c>
      <c r="AY104" s="15">
        <f t="shared" si="51"/>
        <v>735048.6</v>
      </c>
      <c r="AZ104" s="15">
        <f t="shared" si="51"/>
        <v>413855.55</v>
      </c>
      <c r="BA104" s="15">
        <f t="shared" si="51"/>
        <v>3530992.4</v>
      </c>
      <c r="BB104" s="15">
        <f t="shared" si="51"/>
        <v>1057959.8</v>
      </c>
      <c r="BC104" s="15">
        <f t="shared" si="51"/>
        <v>254062.05</v>
      </c>
      <c r="BD104" s="15">
        <f t="shared" si="51"/>
        <v>312094.3</v>
      </c>
      <c r="BE104" s="15">
        <f t="shared" si="51"/>
        <v>475510.7</v>
      </c>
      <c r="BF104" s="15">
        <f t="shared" si="51"/>
        <v>1012310.95</v>
      </c>
      <c r="BG104" s="15">
        <f t="shared" si="51"/>
        <v>91121.5</v>
      </c>
      <c r="BH104" s="15">
        <f t="shared" si="51"/>
        <v>60141.95</v>
      </c>
      <c r="BI104" s="15">
        <f t="shared" si="51"/>
        <v>304938.75</v>
      </c>
      <c r="BJ104" s="15">
        <f t="shared" si="51"/>
        <v>66087</v>
      </c>
      <c r="BK104" s="15">
        <f t="shared" si="51"/>
        <v>532642.80000000005</v>
      </c>
      <c r="BL104" s="15">
        <f t="shared" si="51"/>
        <v>76747</v>
      </c>
      <c r="BM104" s="15">
        <f t="shared" si="51"/>
        <v>183961.9</v>
      </c>
      <c r="BN104" s="15">
        <f t="shared" si="51"/>
        <v>810471.7</v>
      </c>
      <c r="BO104" s="15">
        <f t="shared" si="51"/>
        <v>207294.05</v>
      </c>
      <c r="BP104" s="15">
        <f t="shared" si="51"/>
        <v>531672.69999999995</v>
      </c>
      <c r="BQ104" s="15">
        <f t="shared" ref="BQ104:CB104" si="52">BQ102-BQ103</f>
        <v>1521470.8</v>
      </c>
      <c r="BR104" s="15">
        <f t="shared" si="52"/>
        <v>774987</v>
      </c>
      <c r="BS104" s="15">
        <f t="shared" si="52"/>
        <v>327777</v>
      </c>
      <c r="BT104" s="15">
        <f t="shared" si="52"/>
        <v>3037553.9</v>
      </c>
      <c r="BU104" s="15">
        <f t="shared" si="52"/>
        <v>724658.35</v>
      </c>
      <c r="BV104" s="15">
        <f t="shared" si="52"/>
        <v>894400.4</v>
      </c>
      <c r="BW104" s="15">
        <f t="shared" si="52"/>
        <v>81215.55</v>
      </c>
      <c r="BX104" s="15">
        <f t="shared" si="52"/>
        <v>307108.25</v>
      </c>
      <c r="BY104" s="15">
        <f t="shared" si="52"/>
        <v>930792.05</v>
      </c>
      <c r="BZ104" s="15">
        <f t="shared" si="52"/>
        <v>292147</v>
      </c>
      <c r="CA104" s="15">
        <f t="shared" si="52"/>
        <v>228464.8</v>
      </c>
      <c r="CB104" s="15">
        <f t="shared" si="52"/>
        <v>610915.80000000005</v>
      </c>
      <c r="CC104" s="21"/>
      <c r="CD104" s="21"/>
    </row>
    <row r="105" spans="1:82" x14ac:dyDescent="0.2">
      <c r="B105" s="3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</row>
    <row r="106" spans="1:82" s="32" customFormat="1" x14ac:dyDescent="0.2">
      <c r="A106" s="25" t="s">
        <v>173</v>
      </c>
      <c r="B106" s="26" t="s">
        <v>3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27"/>
      <c r="CD106" s="35"/>
    </row>
    <row r="107" spans="1:82" x14ac:dyDescent="0.2">
      <c r="B107" s="30" t="s">
        <v>84</v>
      </c>
      <c r="C107" s="5">
        <f t="shared" si="48"/>
        <v>56595329.049999982</v>
      </c>
      <c r="D107" s="9">
        <v>8979136.25</v>
      </c>
      <c r="E107" s="9">
        <v>585836.1</v>
      </c>
      <c r="F107" s="9">
        <v>45120.65</v>
      </c>
      <c r="G107" s="9">
        <v>18881.55</v>
      </c>
      <c r="H107" s="9">
        <v>963980.80000000005</v>
      </c>
      <c r="I107" s="9">
        <v>946779.9</v>
      </c>
      <c r="J107" s="9">
        <v>426407.95</v>
      </c>
      <c r="K107" s="9">
        <v>175880.95</v>
      </c>
      <c r="L107" s="9">
        <v>74134.2</v>
      </c>
      <c r="M107" s="9">
        <v>112884.1</v>
      </c>
      <c r="N107" s="9">
        <v>213183.7</v>
      </c>
      <c r="O107" s="9">
        <v>1150062.3999999999</v>
      </c>
      <c r="P107" s="9">
        <v>689820.85</v>
      </c>
      <c r="Q107" s="9">
        <v>398861.35</v>
      </c>
      <c r="R107" s="9">
        <v>284579.40000000002</v>
      </c>
      <c r="S107" s="9">
        <v>886559.95</v>
      </c>
      <c r="T107" s="9">
        <v>713383.5</v>
      </c>
      <c r="U107" s="9">
        <v>657604.35</v>
      </c>
      <c r="V107" s="9">
        <v>648702.44999999995</v>
      </c>
      <c r="W107" s="9">
        <v>854568.6</v>
      </c>
      <c r="X107" s="9">
        <v>957994.2</v>
      </c>
      <c r="Y107" s="9">
        <v>792062.6</v>
      </c>
      <c r="Z107" s="9">
        <v>298221.8</v>
      </c>
      <c r="AA107" s="9">
        <v>1505820.3</v>
      </c>
      <c r="AB107" s="9">
        <v>262726.65000000002</v>
      </c>
      <c r="AC107" s="9">
        <v>1070160.3</v>
      </c>
      <c r="AD107" s="9">
        <v>225212.65</v>
      </c>
      <c r="AE107" s="9">
        <v>500835.9</v>
      </c>
      <c r="AF107" s="9">
        <v>380767.75</v>
      </c>
      <c r="AG107" s="9">
        <v>518834.65</v>
      </c>
      <c r="AH107" s="9">
        <v>1433933.05</v>
      </c>
      <c r="AI107" s="9">
        <v>440318.7</v>
      </c>
      <c r="AJ107" s="9">
        <v>487892.8</v>
      </c>
      <c r="AK107" s="9">
        <v>1351016.65</v>
      </c>
      <c r="AL107" s="9">
        <v>385389.1</v>
      </c>
      <c r="AM107" s="9">
        <v>1176282.8500000001</v>
      </c>
      <c r="AN107" s="9">
        <v>165692.4</v>
      </c>
      <c r="AO107" s="9">
        <v>475100.4</v>
      </c>
      <c r="AP107" s="9">
        <v>1259021.2</v>
      </c>
      <c r="AQ107" s="9">
        <v>250419.35</v>
      </c>
      <c r="AR107" s="9">
        <v>554108.65</v>
      </c>
      <c r="AS107" s="9">
        <v>231110.3</v>
      </c>
      <c r="AT107" s="9">
        <v>372824.95</v>
      </c>
      <c r="AU107" s="9">
        <v>586700.9</v>
      </c>
      <c r="AV107" s="9">
        <v>281473.65000000002</v>
      </c>
      <c r="AW107" s="9">
        <v>326690.8</v>
      </c>
      <c r="AX107" s="9">
        <v>1022203.9</v>
      </c>
      <c r="AY107" s="9">
        <v>519158.5</v>
      </c>
      <c r="AZ107" s="9">
        <v>540645.9</v>
      </c>
      <c r="BA107" s="9">
        <v>2744486.55</v>
      </c>
      <c r="BB107" s="9">
        <v>1353929.95</v>
      </c>
      <c r="BC107" s="9">
        <v>292658.3</v>
      </c>
      <c r="BD107" s="9">
        <v>390859.65</v>
      </c>
      <c r="BE107" s="9">
        <v>276710.65000000002</v>
      </c>
      <c r="BF107" s="9">
        <v>545117.69999999995</v>
      </c>
      <c r="BG107" s="9">
        <v>350803.65</v>
      </c>
      <c r="BH107" s="9">
        <v>51555.199999999997</v>
      </c>
      <c r="BI107" s="9">
        <v>447922.05</v>
      </c>
      <c r="BJ107" s="9">
        <v>16915.25</v>
      </c>
      <c r="BK107" s="9">
        <v>275236.3</v>
      </c>
      <c r="BL107" s="9">
        <v>180934.55</v>
      </c>
      <c r="BM107" s="9">
        <v>54326.7</v>
      </c>
      <c r="BN107" s="9">
        <v>542417.05000000005</v>
      </c>
      <c r="BO107" s="9">
        <v>332018.15000000002</v>
      </c>
      <c r="BP107" s="9">
        <v>1301451.5</v>
      </c>
      <c r="BQ107" s="9">
        <v>1179811.5</v>
      </c>
      <c r="BR107" s="9">
        <v>508371.45</v>
      </c>
      <c r="BS107" s="9">
        <v>476961</v>
      </c>
      <c r="BT107" s="9">
        <v>2466384.15</v>
      </c>
      <c r="BU107" s="9">
        <v>901334.2</v>
      </c>
      <c r="BV107" s="9">
        <v>352073.6</v>
      </c>
      <c r="BW107" s="9">
        <v>53577</v>
      </c>
      <c r="BX107" s="9">
        <v>197538.95</v>
      </c>
      <c r="BY107" s="9">
        <v>2033110.55</v>
      </c>
      <c r="BZ107" s="9">
        <v>83817.350000000006</v>
      </c>
      <c r="CA107" s="9">
        <v>464864.55</v>
      </c>
      <c r="CB107" s="9">
        <v>1521151.7</v>
      </c>
      <c r="CD107" s="3" t="s">
        <v>115</v>
      </c>
    </row>
    <row r="108" spans="1:82" x14ac:dyDescent="0.2">
      <c r="B108" s="30" t="s">
        <v>89</v>
      </c>
      <c r="C108" s="5">
        <f t="shared" si="48"/>
        <v>13482.200000000004</v>
      </c>
      <c r="D108" s="9">
        <v>43.85</v>
      </c>
      <c r="E108" s="9">
        <v>16.600000000000001</v>
      </c>
      <c r="F108" s="9">
        <v>0</v>
      </c>
      <c r="G108" s="9">
        <v>0</v>
      </c>
      <c r="H108" s="9">
        <v>0</v>
      </c>
      <c r="I108" s="9">
        <v>28.95</v>
      </c>
      <c r="J108" s="9">
        <v>0.2</v>
      </c>
      <c r="K108" s="9">
        <v>0</v>
      </c>
      <c r="L108" s="9">
        <v>0</v>
      </c>
      <c r="M108" s="9">
        <v>0</v>
      </c>
      <c r="N108" s="9">
        <v>0</v>
      </c>
      <c r="O108" s="9">
        <v>1.6</v>
      </c>
      <c r="P108" s="9">
        <v>2.15</v>
      </c>
      <c r="Q108" s="9">
        <v>33.25</v>
      </c>
      <c r="R108" s="9">
        <v>19.7</v>
      </c>
      <c r="S108" s="9">
        <v>0</v>
      </c>
      <c r="T108" s="9">
        <v>0</v>
      </c>
      <c r="U108" s="9">
        <v>1.05</v>
      </c>
      <c r="V108" s="9">
        <v>17.149999999999999</v>
      </c>
      <c r="W108" s="9">
        <v>135.79999999999998</v>
      </c>
      <c r="X108" s="9">
        <v>0.05</v>
      </c>
      <c r="Y108" s="9">
        <v>26.7</v>
      </c>
      <c r="Z108" s="9">
        <v>0</v>
      </c>
      <c r="AA108" s="9">
        <v>15.75</v>
      </c>
      <c r="AB108" s="9">
        <v>0</v>
      </c>
      <c r="AC108" s="9">
        <v>0</v>
      </c>
      <c r="AD108" s="9">
        <v>0</v>
      </c>
      <c r="AE108" s="9">
        <v>6.85</v>
      </c>
      <c r="AF108" s="9">
        <v>40.35</v>
      </c>
      <c r="AG108" s="9">
        <v>15.75</v>
      </c>
      <c r="AH108" s="9">
        <v>1.95</v>
      </c>
      <c r="AI108" s="9">
        <v>29.5</v>
      </c>
      <c r="AJ108" s="9">
        <v>0</v>
      </c>
      <c r="AK108" s="9">
        <v>5</v>
      </c>
      <c r="AL108" s="9">
        <v>5.6</v>
      </c>
      <c r="AM108" s="9">
        <v>0</v>
      </c>
      <c r="AN108" s="9">
        <v>0.15</v>
      </c>
      <c r="AO108" s="9">
        <v>0.25</v>
      </c>
      <c r="AP108" s="9">
        <v>17.850000000000001</v>
      </c>
      <c r="AQ108" s="9">
        <v>35.200000000000003</v>
      </c>
      <c r="AR108" s="9">
        <v>92.1</v>
      </c>
      <c r="AS108" s="9">
        <v>13.9</v>
      </c>
      <c r="AT108" s="9">
        <v>0</v>
      </c>
      <c r="AU108" s="9">
        <v>135.94999999999999</v>
      </c>
      <c r="AV108" s="9">
        <v>0</v>
      </c>
      <c r="AW108" s="9">
        <v>9.8000000000000007</v>
      </c>
      <c r="AX108" s="9">
        <v>12420.300000000001</v>
      </c>
      <c r="AY108" s="9">
        <v>0</v>
      </c>
      <c r="AZ108" s="9">
        <v>0</v>
      </c>
      <c r="BA108" s="9">
        <v>13.85</v>
      </c>
      <c r="BB108" s="9">
        <v>14.95</v>
      </c>
      <c r="BC108" s="9">
        <v>6.75</v>
      </c>
      <c r="BD108" s="9">
        <v>13.9</v>
      </c>
      <c r="BE108" s="9">
        <v>11.75</v>
      </c>
      <c r="BF108" s="9">
        <v>0</v>
      </c>
      <c r="BG108" s="9">
        <v>0</v>
      </c>
      <c r="BH108" s="9">
        <v>0.1</v>
      </c>
      <c r="BI108" s="9">
        <v>10</v>
      </c>
      <c r="BJ108" s="9">
        <v>0</v>
      </c>
      <c r="BK108" s="9">
        <v>0.4</v>
      </c>
      <c r="BL108" s="9">
        <v>0</v>
      </c>
      <c r="BM108" s="9">
        <v>0.1</v>
      </c>
      <c r="BN108" s="9">
        <v>13.5</v>
      </c>
      <c r="BO108" s="9">
        <v>0</v>
      </c>
      <c r="BP108" s="9">
        <v>22.35</v>
      </c>
      <c r="BQ108" s="9">
        <v>35.35</v>
      </c>
      <c r="BR108" s="9">
        <v>77.2</v>
      </c>
      <c r="BS108" s="9">
        <v>0</v>
      </c>
      <c r="BT108" s="9">
        <v>18.75</v>
      </c>
      <c r="BU108" s="9">
        <v>4.45</v>
      </c>
      <c r="BV108" s="9">
        <v>1.4</v>
      </c>
      <c r="BW108" s="9">
        <v>0</v>
      </c>
      <c r="BX108" s="9">
        <v>0</v>
      </c>
      <c r="BY108" s="9">
        <v>26.4</v>
      </c>
      <c r="BZ108" s="9">
        <v>0.8</v>
      </c>
      <c r="CA108" s="9">
        <v>6.45</v>
      </c>
      <c r="CB108" s="9">
        <v>30.45</v>
      </c>
      <c r="CD108" s="3" t="s">
        <v>115</v>
      </c>
    </row>
    <row r="109" spans="1:82" s="32" customFormat="1" x14ac:dyDescent="0.2">
      <c r="A109" s="21"/>
      <c r="B109" s="32" t="s">
        <v>93</v>
      </c>
      <c r="C109" s="15">
        <f>SUM(D109:CB109)</f>
        <v>56581846.849999979</v>
      </c>
      <c r="D109" s="15">
        <f>D107-D108</f>
        <v>8979092.4000000004</v>
      </c>
      <c r="E109" s="15">
        <f t="shared" ref="E109:BP109" si="53">E107-E108</f>
        <v>585819.5</v>
      </c>
      <c r="F109" s="15">
        <f t="shared" si="53"/>
        <v>45120.65</v>
      </c>
      <c r="G109" s="15">
        <f t="shared" si="53"/>
        <v>18881.55</v>
      </c>
      <c r="H109" s="15">
        <f t="shared" si="53"/>
        <v>963980.80000000005</v>
      </c>
      <c r="I109" s="15">
        <f t="shared" si="53"/>
        <v>946750.95000000007</v>
      </c>
      <c r="J109" s="15">
        <f t="shared" si="53"/>
        <v>426407.75</v>
      </c>
      <c r="K109" s="15">
        <f t="shared" si="53"/>
        <v>175880.95</v>
      </c>
      <c r="L109" s="15">
        <f t="shared" si="53"/>
        <v>74134.2</v>
      </c>
      <c r="M109" s="15">
        <f t="shared" si="53"/>
        <v>112884.1</v>
      </c>
      <c r="N109" s="15">
        <f t="shared" si="53"/>
        <v>213183.7</v>
      </c>
      <c r="O109" s="15">
        <f t="shared" si="53"/>
        <v>1150060.7999999998</v>
      </c>
      <c r="P109" s="15">
        <f t="shared" si="53"/>
        <v>689818.7</v>
      </c>
      <c r="Q109" s="15">
        <f t="shared" si="53"/>
        <v>398828.1</v>
      </c>
      <c r="R109" s="15">
        <f t="shared" si="53"/>
        <v>284559.7</v>
      </c>
      <c r="S109" s="15">
        <f t="shared" si="53"/>
        <v>886559.95</v>
      </c>
      <c r="T109" s="15">
        <f t="shared" si="53"/>
        <v>713383.5</v>
      </c>
      <c r="U109" s="15">
        <f t="shared" si="53"/>
        <v>657603.29999999993</v>
      </c>
      <c r="V109" s="15">
        <f t="shared" si="53"/>
        <v>648685.29999999993</v>
      </c>
      <c r="W109" s="15">
        <f t="shared" si="53"/>
        <v>854432.79999999993</v>
      </c>
      <c r="X109" s="15">
        <f t="shared" si="53"/>
        <v>957994.14999999991</v>
      </c>
      <c r="Y109" s="15">
        <f t="shared" si="53"/>
        <v>792035.9</v>
      </c>
      <c r="Z109" s="15">
        <f t="shared" si="53"/>
        <v>298221.8</v>
      </c>
      <c r="AA109" s="15">
        <f t="shared" si="53"/>
        <v>1505804.55</v>
      </c>
      <c r="AB109" s="15">
        <f t="shared" si="53"/>
        <v>262726.65000000002</v>
      </c>
      <c r="AC109" s="15">
        <f t="shared" si="53"/>
        <v>1070160.3</v>
      </c>
      <c r="AD109" s="15">
        <f t="shared" si="53"/>
        <v>225212.65</v>
      </c>
      <c r="AE109" s="15">
        <f t="shared" si="53"/>
        <v>500829.05000000005</v>
      </c>
      <c r="AF109" s="15">
        <f t="shared" si="53"/>
        <v>380727.4</v>
      </c>
      <c r="AG109" s="15">
        <f t="shared" si="53"/>
        <v>518818.9</v>
      </c>
      <c r="AH109" s="15">
        <f t="shared" si="53"/>
        <v>1433931.1</v>
      </c>
      <c r="AI109" s="15">
        <f t="shared" si="53"/>
        <v>440289.2</v>
      </c>
      <c r="AJ109" s="15">
        <f t="shared" si="53"/>
        <v>487892.8</v>
      </c>
      <c r="AK109" s="15">
        <f t="shared" si="53"/>
        <v>1351011.65</v>
      </c>
      <c r="AL109" s="15">
        <f t="shared" si="53"/>
        <v>385383.5</v>
      </c>
      <c r="AM109" s="15">
        <f t="shared" si="53"/>
        <v>1176282.8500000001</v>
      </c>
      <c r="AN109" s="15">
        <f t="shared" si="53"/>
        <v>165692.25</v>
      </c>
      <c r="AO109" s="15">
        <f t="shared" si="53"/>
        <v>475100.15</v>
      </c>
      <c r="AP109" s="15">
        <f t="shared" si="53"/>
        <v>1259003.3499999999</v>
      </c>
      <c r="AQ109" s="15">
        <f t="shared" si="53"/>
        <v>250384.15</v>
      </c>
      <c r="AR109" s="15">
        <f t="shared" si="53"/>
        <v>554016.55000000005</v>
      </c>
      <c r="AS109" s="15">
        <f t="shared" si="53"/>
        <v>231096.4</v>
      </c>
      <c r="AT109" s="15">
        <f t="shared" si="53"/>
        <v>372824.95</v>
      </c>
      <c r="AU109" s="15">
        <f t="shared" si="53"/>
        <v>586564.95000000007</v>
      </c>
      <c r="AV109" s="15">
        <f t="shared" si="53"/>
        <v>281473.65000000002</v>
      </c>
      <c r="AW109" s="15">
        <f t="shared" si="53"/>
        <v>326681</v>
      </c>
      <c r="AX109" s="15">
        <f t="shared" si="53"/>
        <v>1009783.6</v>
      </c>
      <c r="AY109" s="15">
        <f t="shared" si="53"/>
        <v>519158.5</v>
      </c>
      <c r="AZ109" s="15">
        <f t="shared" si="53"/>
        <v>540645.9</v>
      </c>
      <c r="BA109" s="15">
        <f t="shared" si="53"/>
        <v>2744472.6999999997</v>
      </c>
      <c r="BB109" s="15">
        <f t="shared" si="53"/>
        <v>1353915</v>
      </c>
      <c r="BC109" s="15">
        <f t="shared" si="53"/>
        <v>292651.55</v>
      </c>
      <c r="BD109" s="15">
        <f t="shared" si="53"/>
        <v>390845.75</v>
      </c>
      <c r="BE109" s="15">
        <f t="shared" si="53"/>
        <v>276698.90000000002</v>
      </c>
      <c r="BF109" s="15">
        <f t="shared" si="53"/>
        <v>545117.69999999995</v>
      </c>
      <c r="BG109" s="15">
        <f t="shared" si="53"/>
        <v>350803.65</v>
      </c>
      <c r="BH109" s="15">
        <f t="shared" si="53"/>
        <v>51555.1</v>
      </c>
      <c r="BI109" s="15">
        <f t="shared" si="53"/>
        <v>447912.05</v>
      </c>
      <c r="BJ109" s="15">
        <f t="shared" si="53"/>
        <v>16915.25</v>
      </c>
      <c r="BK109" s="15">
        <f t="shared" si="53"/>
        <v>275235.89999999997</v>
      </c>
      <c r="BL109" s="15">
        <f t="shared" si="53"/>
        <v>180934.55</v>
      </c>
      <c r="BM109" s="15">
        <f t="shared" si="53"/>
        <v>54326.6</v>
      </c>
      <c r="BN109" s="15">
        <f t="shared" si="53"/>
        <v>542403.55000000005</v>
      </c>
      <c r="BO109" s="15">
        <f t="shared" si="53"/>
        <v>332018.15000000002</v>
      </c>
      <c r="BP109" s="15">
        <f t="shared" si="53"/>
        <v>1301429.1499999999</v>
      </c>
      <c r="BQ109" s="15">
        <f t="shared" ref="BQ109:CB109" si="54">BQ107-BQ108</f>
        <v>1179776.1499999999</v>
      </c>
      <c r="BR109" s="15">
        <f t="shared" si="54"/>
        <v>508294.25</v>
      </c>
      <c r="BS109" s="15">
        <f t="shared" si="54"/>
        <v>476961</v>
      </c>
      <c r="BT109" s="15">
        <f t="shared" si="54"/>
        <v>2466365.4</v>
      </c>
      <c r="BU109" s="15">
        <f t="shared" si="54"/>
        <v>901329.75</v>
      </c>
      <c r="BV109" s="15">
        <f t="shared" si="54"/>
        <v>352072.19999999995</v>
      </c>
      <c r="BW109" s="15">
        <f t="shared" si="54"/>
        <v>53577</v>
      </c>
      <c r="BX109" s="15">
        <f t="shared" si="54"/>
        <v>197538.95</v>
      </c>
      <c r="BY109" s="15">
        <f t="shared" si="54"/>
        <v>2033084.1500000001</v>
      </c>
      <c r="BZ109" s="15">
        <f t="shared" si="54"/>
        <v>83816.55</v>
      </c>
      <c r="CA109" s="15">
        <f t="shared" si="54"/>
        <v>464858.1</v>
      </c>
      <c r="CB109" s="15">
        <f t="shared" si="54"/>
        <v>1521121.25</v>
      </c>
      <c r="CC109" s="21"/>
      <c r="CD109" s="21"/>
    </row>
    <row r="110" spans="1:82" x14ac:dyDescent="0.2">
      <c r="B110" s="3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</row>
    <row r="111" spans="1:82" x14ac:dyDescent="0.2">
      <c r="B111" s="3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</row>
    <row r="112" spans="1:82" s="57" customFormat="1" ht="15.75" x14ac:dyDescent="0.25">
      <c r="A112" s="22" t="s">
        <v>104</v>
      </c>
      <c r="B112" s="22" t="s">
        <v>96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22"/>
      <c r="CD112" s="22"/>
    </row>
    <row r="113" spans="1:82" x14ac:dyDescent="0.2">
      <c r="B113" s="30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</row>
    <row r="114" spans="1:82" x14ac:dyDescent="0.2">
      <c r="A114" s="35" t="s">
        <v>174</v>
      </c>
      <c r="B114" s="27" t="s">
        <v>105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35"/>
      <c r="CD114" s="35"/>
    </row>
    <row r="115" spans="1:82" x14ac:dyDescent="0.2">
      <c r="B115" s="30" t="s">
        <v>4</v>
      </c>
      <c r="C115" s="47">
        <f t="shared" ref="C115:AH115" si="55">C21</f>
        <v>1307154332.6038485</v>
      </c>
      <c r="D115" s="47">
        <f t="shared" si="55"/>
        <v>201691266.7939502</v>
      </c>
      <c r="E115" s="47">
        <f t="shared" si="55"/>
        <v>21841178.8824923</v>
      </c>
      <c r="F115" s="47">
        <f t="shared" si="55"/>
        <v>3250902.3735156059</v>
      </c>
      <c r="G115" s="47">
        <f t="shared" si="55"/>
        <v>2655060.0772725861</v>
      </c>
      <c r="H115" s="47">
        <f t="shared" si="55"/>
        <v>18864228.064210087</v>
      </c>
      <c r="I115" s="47">
        <f t="shared" si="55"/>
        <v>24887307.37617803</v>
      </c>
      <c r="J115" s="47">
        <f t="shared" si="55"/>
        <v>9250576.8966640811</v>
      </c>
      <c r="K115" s="47">
        <f t="shared" si="55"/>
        <v>2600635.6769957426</v>
      </c>
      <c r="L115" s="47">
        <f t="shared" si="55"/>
        <v>4975861.2086429261</v>
      </c>
      <c r="M115" s="47">
        <f t="shared" si="55"/>
        <v>2867017.6197529733</v>
      </c>
      <c r="N115" s="47">
        <f t="shared" si="55"/>
        <v>6187565.3907457627</v>
      </c>
      <c r="O115" s="47">
        <f t="shared" si="55"/>
        <v>20459465.839445826</v>
      </c>
      <c r="P115" s="47">
        <f t="shared" si="55"/>
        <v>17581843.400275853</v>
      </c>
      <c r="Q115" s="47">
        <f t="shared" si="55"/>
        <v>18645374.481013943</v>
      </c>
      <c r="R115" s="47">
        <f t="shared" si="55"/>
        <v>7342994.7124047885</v>
      </c>
      <c r="S115" s="47">
        <f t="shared" si="55"/>
        <v>10591120.57890898</v>
      </c>
      <c r="T115" s="47">
        <f t="shared" si="55"/>
        <v>21187634.490178909</v>
      </c>
      <c r="U115" s="47">
        <f t="shared" si="55"/>
        <v>12175049.646724949</v>
      </c>
      <c r="V115" s="47">
        <f t="shared" si="55"/>
        <v>17138292.589508139</v>
      </c>
      <c r="W115" s="47">
        <f t="shared" si="55"/>
        <v>16454266.876897285</v>
      </c>
      <c r="X115" s="47">
        <f t="shared" si="55"/>
        <v>25011676.348301411</v>
      </c>
      <c r="Y115" s="47">
        <f t="shared" si="55"/>
        <v>9960196.4117531031</v>
      </c>
      <c r="Z115" s="47">
        <f t="shared" si="55"/>
        <v>5018532.3589724842</v>
      </c>
      <c r="AA115" s="47">
        <f t="shared" si="55"/>
        <v>27827512.06141787</v>
      </c>
      <c r="AB115" s="47">
        <f t="shared" si="55"/>
        <v>3625919.3399349265</v>
      </c>
      <c r="AC115" s="47">
        <f t="shared" si="55"/>
        <v>22346749.560276695</v>
      </c>
      <c r="AD115" s="47">
        <f t="shared" si="55"/>
        <v>4819755.0768292332</v>
      </c>
      <c r="AE115" s="47">
        <f t="shared" si="55"/>
        <v>12964116.083506551</v>
      </c>
      <c r="AF115" s="47">
        <f t="shared" si="55"/>
        <v>7804039.1807437995</v>
      </c>
      <c r="AG115" s="47">
        <f t="shared" si="55"/>
        <v>15709760.069739936</v>
      </c>
      <c r="AH115" s="47">
        <f t="shared" si="55"/>
        <v>31473122.836626709</v>
      </c>
      <c r="AI115" s="47">
        <f t="shared" ref="AI115:BN115" si="56">AI21</f>
        <v>11390981.888102645</v>
      </c>
      <c r="AJ115" s="47">
        <f t="shared" si="56"/>
        <v>10665865.571901023</v>
      </c>
      <c r="AK115" s="47">
        <f t="shared" si="56"/>
        <v>14354554.383895963</v>
      </c>
      <c r="AL115" s="47">
        <f t="shared" si="56"/>
        <v>10732286.394279718</v>
      </c>
      <c r="AM115" s="47">
        <f t="shared" si="56"/>
        <v>17371281.579909779</v>
      </c>
      <c r="AN115" s="47">
        <f t="shared" si="56"/>
        <v>2898146.29837897</v>
      </c>
      <c r="AO115" s="47">
        <f t="shared" si="56"/>
        <v>18080562.66650787</v>
      </c>
      <c r="AP115" s="47">
        <f t="shared" si="56"/>
        <v>10302463.116806978</v>
      </c>
      <c r="AQ115" s="47">
        <f t="shared" si="56"/>
        <v>13539181.172357203</v>
      </c>
      <c r="AR115" s="47">
        <f t="shared" si="56"/>
        <v>6992473.6240011612</v>
      </c>
      <c r="AS115" s="47">
        <f t="shared" si="56"/>
        <v>5861050.0933637135</v>
      </c>
      <c r="AT115" s="47">
        <f t="shared" si="56"/>
        <v>5544345.20372051</v>
      </c>
      <c r="AU115" s="47">
        <f t="shared" si="56"/>
        <v>8101317.4852673784</v>
      </c>
      <c r="AV115" s="47">
        <f t="shared" si="56"/>
        <v>6228477.7704129126</v>
      </c>
      <c r="AW115" s="47">
        <f t="shared" si="56"/>
        <v>10750626.344105477</v>
      </c>
      <c r="AX115" s="47">
        <f t="shared" si="56"/>
        <v>14940609.933217712</v>
      </c>
      <c r="AY115" s="47">
        <f t="shared" si="56"/>
        <v>14815710.196325203</v>
      </c>
      <c r="AZ115" s="47">
        <f t="shared" si="56"/>
        <v>10371880.931338826</v>
      </c>
      <c r="BA115" s="47">
        <f t="shared" si="56"/>
        <v>112236798.13938005</v>
      </c>
      <c r="BB115" s="47">
        <f t="shared" si="56"/>
        <v>23707295.709292609</v>
      </c>
      <c r="BC115" s="47">
        <f t="shared" si="56"/>
        <v>6520762.2249661367</v>
      </c>
      <c r="BD115" s="47">
        <f t="shared" si="56"/>
        <v>7137829.3596604401</v>
      </c>
      <c r="BE115" s="47">
        <f t="shared" si="56"/>
        <v>9555521.4668913819</v>
      </c>
      <c r="BF115" s="47">
        <f t="shared" si="56"/>
        <v>17201697.86359822</v>
      </c>
      <c r="BG115" s="47">
        <f t="shared" si="56"/>
        <v>4178818.9676014357</v>
      </c>
      <c r="BH115" s="47">
        <f t="shared" si="56"/>
        <v>2383186.3535794094</v>
      </c>
      <c r="BI115" s="47">
        <f t="shared" si="56"/>
        <v>6668861.7445229227</v>
      </c>
      <c r="BJ115" s="47">
        <f t="shared" si="56"/>
        <v>1631220.045668219</v>
      </c>
      <c r="BK115" s="47">
        <f t="shared" si="56"/>
        <v>10021790.346888397</v>
      </c>
      <c r="BL115" s="47">
        <f t="shared" si="56"/>
        <v>2915516.1551599293</v>
      </c>
      <c r="BM115" s="47">
        <f t="shared" si="56"/>
        <v>4992732.6719609806</v>
      </c>
      <c r="BN115" s="47">
        <f t="shared" si="56"/>
        <v>19105253.18359822</v>
      </c>
      <c r="BO115" s="47">
        <f t="shared" ref="BO115:CB115" si="57">BO21</f>
        <v>8590741.0608319435</v>
      </c>
      <c r="BP115" s="47">
        <f t="shared" si="57"/>
        <v>15342245.000405867</v>
      </c>
      <c r="BQ115" s="47">
        <f t="shared" si="57"/>
        <v>28449934.128966674</v>
      </c>
      <c r="BR115" s="47">
        <f t="shared" si="57"/>
        <v>22987040.480971303</v>
      </c>
      <c r="BS115" s="47">
        <f t="shared" si="57"/>
        <v>7196419.244979783</v>
      </c>
      <c r="BT115" s="47">
        <f t="shared" si="57"/>
        <v>67704594.677185446</v>
      </c>
      <c r="BU115" s="47">
        <f t="shared" si="57"/>
        <v>16689916.521725947</v>
      </c>
      <c r="BV115" s="47">
        <f t="shared" si="57"/>
        <v>12508827.072822101</v>
      </c>
      <c r="BW115" s="47">
        <f t="shared" si="57"/>
        <v>3396512.9260657043</v>
      </c>
      <c r="BX115" s="47">
        <f t="shared" si="57"/>
        <v>7808318.9660180742</v>
      </c>
      <c r="BY115" s="47">
        <f t="shared" si="57"/>
        <v>46513184.539554209</v>
      </c>
      <c r="BZ115" s="47">
        <f t="shared" si="57"/>
        <v>5468462.5396367433</v>
      </c>
      <c r="CA115" s="47">
        <f t="shared" si="57"/>
        <v>8076389.3075533733</v>
      </c>
      <c r="CB115" s="47">
        <f t="shared" si="57"/>
        <v>28013624.94658846</v>
      </c>
    </row>
    <row r="116" spans="1:82" x14ac:dyDescent="0.2">
      <c r="B116" s="30" t="s">
        <v>0</v>
      </c>
      <c r="C116" s="47">
        <f t="shared" ref="C116:AH116" si="58">C26</f>
        <v>65731751.610000007</v>
      </c>
      <c r="D116" s="47">
        <f t="shared" si="58"/>
        <v>13811758.25</v>
      </c>
      <c r="E116" s="47">
        <f t="shared" si="58"/>
        <v>643940.54999999993</v>
      </c>
      <c r="F116" s="47">
        <f t="shared" si="58"/>
        <v>83947.4</v>
      </c>
      <c r="G116" s="47">
        <f t="shared" si="58"/>
        <v>41113.000000000007</v>
      </c>
      <c r="H116" s="47">
        <f t="shared" si="58"/>
        <v>134306.9</v>
      </c>
      <c r="I116" s="47">
        <f t="shared" si="58"/>
        <v>837656.75</v>
      </c>
      <c r="J116" s="47">
        <f t="shared" si="58"/>
        <v>681357.45000000007</v>
      </c>
      <c r="K116" s="47">
        <f t="shared" si="58"/>
        <v>39044.400000000001</v>
      </c>
      <c r="L116" s="47">
        <f t="shared" si="58"/>
        <v>16508.550000000007</v>
      </c>
      <c r="M116" s="47">
        <f t="shared" si="58"/>
        <v>24629.600000000002</v>
      </c>
      <c r="N116" s="47">
        <f t="shared" si="58"/>
        <v>85620.05</v>
      </c>
      <c r="O116" s="47">
        <f t="shared" si="58"/>
        <v>650355.00000000012</v>
      </c>
      <c r="P116" s="47">
        <f t="shared" si="58"/>
        <v>2370043.16</v>
      </c>
      <c r="Q116" s="47">
        <f t="shared" si="58"/>
        <v>2296956.2000000002</v>
      </c>
      <c r="R116" s="47">
        <f t="shared" si="58"/>
        <v>447301.5</v>
      </c>
      <c r="S116" s="47">
        <f t="shared" si="58"/>
        <v>1579398.1999999997</v>
      </c>
      <c r="T116" s="47">
        <f t="shared" si="58"/>
        <v>3104409.85</v>
      </c>
      <c r="U116" s="47">
        <f t="shared" si="58"/>
        <v>635794.39999999991</v>
      </c>
      <c r="V116" s="47">
        <f t="shared" si="58"/>
        <v>2113862.6</v>
      </c>
      <c r="W116" s="47">
        <f t="shared" si="58"/>
        <v>2113467.0000000005</v>
      </c>
      <c r="X116" s="47">
        <f t="shared" si="58"/>
        <v>2499579.9499999997</v>
      </c>
      <c r="Y116" s="47">
        <f t="shared" si="58"/>
        <v>763609.35000000009</v>
      </c>
      <c r="Z116" s="47">
        <f t="shared" si="58"/>
        <v>243269.15000000002</v>
      </c>
      <c r="AA116" s="47">
        <f t="shared" si="58"/>
        <v>2446132.5999999996</v>
      </c>
      <c r="AB116" s="47">
        <f t="shared" si="58"/>
        <v>106606.84999999999</v>
      </c>
      <c r="AC116" s="47">
        <f t="shared" si="58"/>
        <v>1744140.45</v>
      </c>
      <c r="AD116" s="47">
        <f t="shared" si="58"/>
        <v>454290.25000000006</v>
      </c>
      <c r="AE116" s="47">
        <f t="shared" si="58"/>
        <v>2493103.5</v>
      </c>
      <c r="AF116" s="47">
        <f t="shared" si="58"/>
        <v>337052.75</v>
      </c>
      <c r="AG116" s="47">
        <f t="shared" si="58"/>
        <v>1246403.6500000001</v>
      </c>
      <c r="AH116" s="47">
        <f t="shared" si="58"/>
        <v>2970449.4499999993</v>
      </c>
      <c r="AI116" s="47">
        <f t="shared" ref="AI116:BN116" si="59">AI26</f>
        <v>928815.60000000009</v>
      </c>
      <c r="AJ116" s="47">
        <f t="shared" si="59"/>
        <v>609209.99999999988</v>
      </c>
      <c r="AK116" s="47">
        <f t="shared" si="59"/>
        <v>618071.69999999995</v>
      </c>
      <c r="AL116" s="47">
        <f t="shared" si="59"/>
        <v>271513.75000000006</v>
      </c>
      <c r="AM116" s="47">
        <f t="shared" si="59"/>
        <v>887990.35000000009</v>
      </c>
      <c r="AN116" s="47">
        <f t="shared" si="59"/>
        <v>268501.7</v>
      </c>
      <c r="AO116" s="47">
        <f t="shared" si="59"/>
        <v>378589.85000000003</v>
      </c>
      <c r="AP116" s="47">
        <f t="shared" si="59"/>
        <v>314981.44999999995</v>
      </c>
      <c r="AQ116" s="47">
        <f t="shared" si="59"/>
        <v>424871.95000000007</v>
      </c>
      <c r="AR116" s="47">
        <f t="shared" si="59"/>
        <v>268620.80000000005</v>
      </c>
      <c r="AS116" s="47">
        <f t="shared" si="59"/>
        <v>27615.649999999994</v>
      </c>
      <c r="AT116" s="47">
        <f t="shared" si="59"/>
        <v>91077.949999999983</v>
      </c>
      <c r="AU116" s="47">
        <f t="shared" si="59"/>
        <v>220515.4</v>
      </c>
      <c r="AV116" s="47">
        <f t="shared" si="59"/>
        <v>180101.99999999997</v>
      </c>
      <c r="AW116" s="47">
        <f t="shared" si="59"/>
        <v>211590.59999999998</v>
      </c>
      <c r="AX116" s="47">
        <f t="shared" si="59"/>
        <v>98065.45</v>
      </c>
      <c r="AY116" s="47">
        <f t="shared" si="59"/>
        <v>456286.55000000005</v>
      </c>
      <c r="AZ116" s="47">
        <f t="shared" si="59"/>
        <v>253507.44999999998</v>
      </c>
      <c r="BA116" s="47">
        <f t="shared" si="59"/>
        <v>2677526.5499999998</v>
      </c>
      <c r="BB116" s="47">
        <f t="shared" si="59"/>
        <v>516893.3</v>
      </c>
      <c r="BC116" s="47">
        <f t="shared" si="59"/>
        <v>261262.35</v>
      </c>
      <c r="BD116" s="47">
        <f t="shared" si="59"/>
        <v>71497.5</v>
      </c>
      <c r="BE116" s="47">
        <f t="shared" si="59"/>
        <v>168193.85</v>
      </c>
      <c r="BF116" s="47">
        <f t="shared" si="59"/>
        <v>382703.64999999997</v>
      </c>
      <c r="BG116" s="47">
        <f t="shared" si="59"/>
        <v>118594.4</v>
      </c>
      <c r="BH116" s="47">
        <f t="shared" si="59"/>
        <v>36108.749999999993</v>
      </c>
      <c r="BI116" s="47">
        <f t="shared" si="59"/>
        <v>163926.15</v>
      </c>
      <c r="BJ116" s="47">
        <f t="shared" si="59"/>
        <v>26497.3</v>
      </c>
      <c r="BK116" s="47">
        <f t="shared" si="59"/>
        <v>343637.8</v>
      </c>
      <c r="BL116" s="47">
        <f t="shared" si="59"/>
        <v>89692.3</v>
      </c>
      <c r="BM116" s="47">
        <f t="shared" si="59"/>
        <v>65592.299999999988</v>
      </c>
      <c r="BN116" s="47">
        <f t="shared" si="59"/>
        <v>708591.85000000009</v>
      </c>
      <c r="BO116" s="47">
        <f t="shared" ref="BO116:CB116" si="60">BO26</f>
        <v>247338.75</v>
      </c>
      <c r="BP116" s="47">
        <f t="shared" si="60"/>
        <v>391710.69999999995</v>
      </c>
      <c r="BQ116" s="47">
        <f t="shared" si="60"/>
        <v>1213496.7</v>
      </c>
      <c r="BR116" s="47">
        <f t="shared" si="60"/>
        <v>645059.10000000009</v>
      </c>
      <c r="BS116" s="47">
        <f t="shared" si="60"/>
        <v>275034.55</v>
      </c>
      <c r="BT116" s="47">
        <f t="shared" si="60"/>
        <v>1662494.9000000001</v>
      </c>
      <c r="BU116" s="47">
        <f t="shared" si="60"/>
        <v>238127.68000000005</v>
      </c>
      <c r="BV116" s="47">
        <f t="shared" si="60"/>
        <v>284512.85000000009</v>
      </c>
      <c r="BW116" s="47">
        <f t="shared" si="60"/>
        <v>92110.650000000009</v>
      </c>
      <c r="BX116" s="47">
        <f t="shared" si="60"/>
        <v>69213.299999999988</v>
      </c>
      <c r="BY116" s="47">
        <f t="shared" si="60"/>
        <v>1009982.9700000002</v>
      </c>
      <c r="BZ116" s="47">
        <f t="shared" si="60"/>
        <v>46214.150000000009</v>
      </c>
      <c r="CA116" s="47">
        <f t="shared" si="60"/>
        <v>167920.59999999998</v>
      </c>
      <c r="CB116" s="47">
        <f t="shared" si="60"/>
        <v>231779.69999999998</v>
      </c>
    </row>
    <row r="117" spans="1:82" x14ac:dyDescent="0.2">
      <c r="B117" s="30" t="s">
        <v>1</v>
      </c>
      <c r="C117" s="47">
        <f t="shared" ref="C117:AH117" si="61">C32</f>
        <v>209094223.54999998</v>
      </c>
      <c r="D117" s="47">
        <f t="shared" si="61"/>
        <v>45161694.250000007</v>
      </c>
      <c r="E117" s="47">
        <f t="shared" si="61"/>
        <v>1709532.9</v>
      </c>
      <c r="F117" s="47">
        <f t="shared" si="61"/>
        <v>142244.20000000001</v>
      </c>
      <c r="G117" s="47">
        <f t="shared" si="61"/>
        <v>71189.900000000009</v>
      </c>
      <c r="H117" s="47">
        <f t="shared" si="61"/>
        <v>710414.04999999993</v>
      </c>
      <c r="I117" s="47">
        <f t="shared" si="61"/>
        <v>3258118.45</v>
      </c>
      <c r="J117" s="47">
        <f t="shared" si="61"/>
        <v>1285169.2499999998</v>
      </c>
      <c r="K117" s="47">
        <f t="shared" si="61"/>
        <v>104950.25</v>
      </c>
      <c r="L117" s="47">
        <f t="shared" si="61"/>
        <v>444923.2</v>
      </c>
      <c r="M117" s="47">
        <f t="shared" si="61"/>
        <v>65936.150000000009</v>
      </c>
      <c r="N117" s="47">
        <f t="shared" si="61"/>
        <v>72399.849999999991</v>
      </c>
      <c r="O117" s="47">
        <f t="shared" si="61"/>
        <v>1008872.2000000001</v>
      </c>
      <c r="P117" s="47">
        <f t="shared" si="61"/>
        <v>3083327.3499999996</v>
      </c>
      <c r="Q117" s="47">
        <f t="shared" si="61"/>
        <v>5467461.7499999991</v>
      </c>
      <c r="R117" s="47">
        <f t="shared" si="61"/>
        <v>979784.04999999993</v>
      </c>
      <c r="S117" s="47">
        <f t="shared" si="61"/>
        <v>1472632.05</v>
      </c>
      <c r="T117" s="47">
        <f t="shared" si="61"/>
        <v>4461407</v>
      </c>
      <c r="U117" s="47">
        <f t="shared" si="61"/>
        <v>1314525.55</v>
      </c>
      <c r="V117" s="47">
        <f t="shared" si="61"/>
        <v>6250897</v>
      </c>
      <c r="W117" s="47">
        <f t="shared" si="61"/>
        <v>2101369.1500000004</v>
      </c>
      <c r="X117" s="47">
        <f t="shared" si="61"/>
        <v>6629334.8499999996</v>
      </c>
      <c r="Y117" s="47">
        <f t="shared" si="61"/>
        <v>2079657.55</v>
      </c>
      <c r="Z117" s="47">
        <f t="shared" si="61"/>
        <v>308306.39999999997</v>
      </c>
      <c r="AA117" s="47">
        <f t="shared" si="61"/>
        <v>4366679.0999999996</v>
      </c>
      <c r="AB117" s="47">
        <f t="shared" si="61"/>
        <v>69269.799999999988</v>
      </c>
      <c r="AC117" s="47">
        <f t="shared" si="61"/>
        <v>2946365.95</v>
      </c>
      <c r="AD117" s="47">
        <f t="shared" si="61"/>
        <v>801353.15</v>
      </c>
      <c r="AE117" s="47">
        <f t="shared" si="61"/>
        <v>5399188.3500000006</v>
      </c>
      <c r="AF117" s="47">
        <f t="shared" si="61"/>
        <v>442204.45</v>
      </c>
      <c r="AG117" s="47">
        <f t="shared" si="61"/>
        <v>916387.9</v>
      </c>
      <c r="AH117" s="47">
        <f t="shared" si="61"/>
        <v>9237397.0999999996</v>
      </c>
      <c r="AI117" s="47">
        <f t="shared" ref="AI117:BN117" si="62">AI32</f>
        <v>1708390.2</v>
      </c>
      <c r="AJ117" s="47">
        <f t="shared" si="62"/>
        <v>1449654.5999999999</v>
      </c>
      <c r="AK117" s="47">
        <f t="shared" si="62"/>
        <v>1559740.2</v>
      </c>
      <c r="AL117" s="47">
        <f t="shared" si="62"/>
        <v>747425.6</v>
      </c>
      <c r="AM117" s="47">
        <f t="shared" si="62"/>
        <v>1494371.6</v>
      </c>
      <c r="AN117" s="47">
        <f t="shared" si="62"/>
        <v>64571.149999999994</v>
      </c>
      <c r="AO117" s="47">
        <f t="shared" si="62"/>
        <v>1994296.7</v>
      </c>
      <c r="AP117" s="47">
        <f t="shared" si="62"/>
        <v>1234460.75</v>
      </c>
      <c r="AQ117" s="47">
        <f t="shared" si="62"/>
        <v>627345.35000000009</v>
      </c>
      <c r="AR117" s="47">
        <f t="shared" si="62"/>
        <v>272925.5</v>
      </c>
      <c r="AS117" s="47">
        <f t="shared" si="62"/>
        <v>103969.65</v>
      </c>
      <c r="AT117" s="47">
        <f t="shared" si="62"/>
        <v>339100.60000000003</v>
      </c>
      <c r="AU117" s="47">
        <f t="shared" si="62"/>
        <v>617579</v>
      </c>
      <c r="AV117" s="47">
        <f t="shared" si="62"/>
        <v>692364.20000000007</v>
      </c>
      <c r="AW117" s="47">
        <f t="shared" si="62"/>
        <v>651511.69999999995</v>
      </c>
      <c r="AX117" s="47">
        <f t="shared" si="62"/>
        <v>507074</v>
      </c>
      <c r="AY117" s="47">
        <f t="shared" si="62"/>
        <v>2290416.15</v>
      </c>
      <c r="AZ117" s="47">
        <f t="shared" si="62"/>
        <v>808850.60000000009</v>
      </c>
      <c r="BA117" s="47">
        <f t="shared" si="62"/>
        <v>35676506.450000003</v>
      </c>
      <c r="BB117" s="47">
        <f t="shared" si="62"/>
        <v>1835308.0999999999</v>
      </c>
      <c r="BC117" s="47">
        <f t="shared" si="62"/>
        <v>225386.55</v>
      </c>
      <c r="BD117" s="47">
        <f t="shared" si="62"/>
        <v>339713.65</v>
      </c>
      <c r="BE117" s="47">
        <f t="shared" si="62"/>
        <v>1788474.8499999999</v>
      </c>
      <c r="BF117" s="47">
        <f t="shared" si="62"/>
        <v>1982636.75</v>
      </c>
      <c r="BG117" s="47">
        <f t="shared" si="62"/>
        <v>339871.45</v>
      </c>
      <c r="BH117" s="47">
        <f t="shared" si="62"/>
        <v>81476.3</v>
      </c>
      <c r="BI117" s="47">
        <f t="shared" si="62"/>
        <v>39017.75</v>
      </c>
      <c r="BJ117" s="47">
        <f t="shared" si="62"/>
        <v>33561.35</v>
      </c>
      <c r="BK117" s="47">
        <f t="shared" si="62"/>
        <v>1329879.75</v>
      </c>
      <c r="BL117" s="47">
        <f t="shared" si="62"/>
        <v>219912.84999999998</v>
      </c>
      <c r="BM117" s="47">
        <f t="shared" si="62"/>
        <v>230216.44999999998</v>
      </c>
      <c r="BN117" s="47">
        <f t="shared" si="62"/>
        <v>2433010.4500000002</v>
      </c>
      <c r="BO117" s="47">
        <f t="shared" ref="BO117:CB117" si="63">BO32</f>
        <v>961026.35</v>
      </c>
      <c r="BP117" s="47">
        <f t="shared" si="63"/>
        <v>913745.2</v>
      </c>
      <c r="BQ117" s="47">
        <f t="shared" si="63"/>
        <v>3758458.35</v>
      </c>
      <c r="BR117" s="47">
        <f t="shared" si="63"/>
        <v>2627958.9000000004</v>
      </c>
      <c r="BS117" s="47">
        <f t="shared" si="63"/>
        <v>1623819.45</v>
      </c>
      <c r="BT117" s="47">
        <f t="shared" si="63"/>
        <v>11277442.9</v>
      </c>
      <c r="BU117" s="47">
        <f t="shared" si="63"/>
        <v>1474250.2000000002</v>
      </c>
      <c r="BV117" s="47">
        <f t="shared" si="63"/>
        <v>2093165.05</v>
      </c>
      <c r="BW117" s="47">
        <f t="shared" si="63"/>
        <v>152289.30000000002</v>
      </c>
      <c r="BX117" s="47">
        <f t="shared" si="63"/>
        <v>293651.15000000002</v>
      </c>
      <c r="BY117" s="47">
        <f t="shared" si="63"/>
        <v>5659591.2000000002</v>
      </c>
      <c r="BZ117" s="47">
        <f t="shared" si="63"/>
        <v>528815.75</v>
      </c>
      <c r="CA117" s="47">
        <f t="shared" si="63"/>
        <v>490491.05000000005</v>
      </c>
      <c r="CB117" s="47">
        <f t="shared" si="63"/>
        <v>1157505.3</v>
      </c>
    </row>
    <row r="118" spans="1:82" x14ac:dyDescent="0.2">
      <c r="B118" s="30" t="s">
        <v>87</v>
      </c>
      <c r="C118" s="47">
        <f t="shared" ref="C118:AH118" si="64">C43</f>
        <v>90572787.620000005</v>
      </c>
      <c r="D118" s="47">
        <f t="shared" si="64"/>
        <v>14046843.862641145</v>
      </c>
      <c r="E118" s="47">
        <f t="shared" si="64"/>
        <v>1425478.2456375598</v>
      </c>
      <c r="F118" s="47">
        <f t="shared" si="64"/>
        <v>224814.19122824739</v>
      </c>
      <c r="G118" s="47">
        <f t="shared" si="64"/>
        <v>180431.73451488346</v>
      </c>
      <c r="H118" s="47">
        <f t="shared" si="64"/>
        <v>813811.36588296946</v>
      </c>
      <c r="I118" s="47">
        <f t="shared" si="64"/>
        <v>1596366.9447318104</v>
      </c>
      <c r="J118" s="47">
        <f t="shared" si="64"/>
        <v>677828.00143771281</v>
      </c>
      <c r="K118" s="47">
        <f t="shared" si="64"/>
        <v>148040.17377000436</v>
      </c>
      <c r="L118" s="47">
        <f t="shared" si="64"/>
        <v>325742.17412283598</v>
      </c>
      <c r="M118" s="47">
        <f t="shared" si="64"/>
        <v>176419.12412297321</v>
      </c>
      <c r="N118" s="47">
        <f t="shared" si="64"/>
        <v>350405.06588247279</v>
      </c>
      <c r="O118" s="47">
        <f t="shared" si="64"/>
        <v>1268153.9380466444</v>
      </c>
      <c r="P118" s="47">
        <f t="shared" si="64"/>
        <v>1445457.0066292658</v>
      </c>
      <c r="Q118" s="47">
        <f t="shared" si="64"/>
        <v>1350785.7696379186</v>
      </c>
      <c r="R118" s="47">
        <f t="shared" si="64"/>
        <v>546421.14037428051</v>
      </c>
      <c r="S118" s="47">
        <f t="shared" si="64"/>
        <v>1021858.7560108686</v>
      </c>
      <c r="T118" s="47">
        <f t="shared" si="64"/>
        <v>1429647.5788084485</v>
      </c>
      <c r="U118" s="47">
        <f t="shared" si="64"/>
        <v>742528.56360640202</v>
      </c>
      <c r="V118" s="47">
        <f t="shared" si="64"/>
        <v>1012290.0957162171</v>
      </c>
      <c r="W118" s="47">
        <f t="shared" si="64"/>
        <v>1221060.1714264955</v>
      </c>
      <c r="X118" s="47">
        <f t="shared" si="64"/>
        <v>2004262.1501121745</v>
      </c>
      <c r="Y118" s="47">
        <f t="shared" si="64"/>
        <v>691154.4518469217</v>
      </c>
      <c r="Z118" s="47">
        <f t="shared" si="64"/>
        <v>343430.29001958325</v>
      </c>
      <c r="AA118" s="47">
        <f t="shared" si="64"/>
        <v>2003368.2618020964</v>
      </c>
      <c r="AB118" s="47">
        <f t="shared" si="64"/>
        <v>238244.07400721344</v>
      </c>
      <c r="AC118" s="47">
        <f t="shared" si="64"/>
        <v>1546102.4862199167</v>
      </c>
      <c r="AD118" s="47">
        <f t="shared" si="64"/>
        <v>434152.66395919729</v>
      </c>
      <c r="AE118" s="47">
        <f t="shared" si="64"/>
        <v>1131990.3278294115</v>
      </c>
      <c r="AF118" s="47">
        <f t="shared" si="64"/>
        <v>544400.88580151333</v>
      </c>
      <c r="AG118" s="47">
        <f t="shared" si="64"/>
        <v>1092872.9781232381</v>
      </c>
      <c r="AH118" s="47">
        <f t="shared" si="64"/>
        <v>2248081.8668682706</v>
      </c>
      <c r="AI118" s="47">
        <f t="shared" ref="AI118:BN118" si="65">AI43</f>
        <v>845965.55400362413</v>
      </c>
      <c r="AJ118" s="47">
        <f t="shared" si="65"/>
        <v>824807.14800092869</v>
      </c>
      <c r="AK118" s="47">
        <f t="shared" si="65"/>
        <v>1024573.287247095</v>
      </c>
      <c r="AL118" s="47">
        <f t="shared" si="65"/>
        <v>865247.7906893373</v>
      </c>
      <c r="AM118" s="47">
        <f t="shared" si="65"/>
        <v>1369790.5405375902</v>
      </c>
      <c r="AN118" s="47">
        <f t="shared" si="65"/>
        <v>359492.84436897014</v>
      </c>
      <c r="AO118" s="47">
        <f t="shared" si="65"/>
        <v>1530572.2383405366</v>
      </c>
      <c r="AP118" s="47">
        <f t="shared" si="65"/>
        <v>970610.08369440609</v>
      </c>
      <c r="AQ118" s="47">
        <f t="shared" si="65"/>
        <v>989936.92340315436</v>
      </c>
      <c r="AR118" s="47">
        <f t="shared" si="65"/>
        <v>768160.12807807233</v>
      </c>
      <c r="AS118" s="47">
        <f t="shared" si="65"/>
        <v>445031.29754900862</v>
      </c>
      <c r="AT118" s="47">
        <f t="shared" si="65"/>
        <v>350485.96352229139</v>
      </c>
      <c r="AU118" s="47">
        <f t="shared" si="65"/>
        <v>594887.17876032519</v>
      </c>
      <c r="AV118" s="47">
        <f t="shared" si="65"/>
        <v>474083.52033138653</v>
      </c>
      <c r="AW118" s="47">
        <f t="shared" si="65"/>
        <v>703396.7135448968</v>
      </c>
      <c r="AX118" s="47">
        <f t="shared" si="65"/>
        <v>1032664.4505394811</v>
      </c>
      <c r="AY118" s="47">
        <f t="shared" si="65"/>
        <v>1118705.6060261976</v>
      </c>
      <c r="AZ118" s="47">
        <f t="shared" si="65"/>
        <v>706688.98511479003</v>
      </c>
      <c r="BA118" s="47">
        <f t="shared" si="65"/>
        <v>6446441.9188590115</v>
      </c>
      <c r="BB118" s="47">
        <f t="shared" si="65"/>
        <v>1734899.7276016159</v>
      </c>
      <c r="BC118" s="47">
        <f t="shared" si="65"/>
        <v>689676.1240040313</v>
      </c>
      <c r="BD118" s="47">
        <f t="shared" si="65"/>
        <v>511802.11048948806</v>
      </c>
      <c r="BE118" s="47">
        <f t="shared" si="65"/>
        <v>746082.50624476804</v>
      </c>
      <c r="BF118" s="47">
        <f t="shared" si="65"/>
        <v>1228393.9287440614</v>
      </c>
      <c r="BG118" s="47">
        <f t="shared" si="65"/>
        <v>255955.37473024815</v>
      </c>
      <c r="BH118" s="47">
        <f t="shared" si="65"/>
        <v>161947.06110087378</v>
      </c>
      <c r="BI118" s="47">
        <f t="shared" si="65"/>
        <v>497990.08475140046</v>
      </c>
      <c r="BJ118" s="47">
        <f t="shared" si="65"/>
        <v>132367.47316378643</v>
      </c>
      <c r="BK118" s="47">
        <f t="shared" si="65"/>
        <v>693763.90360829188</v>
      </c>
      <c r="BL118" s="47">
        <f t="shared" si="65"/>
        <v>217144.736400122</v>
      </c>
      <c r="BM118" s="47">
        <f t="shared" si="65"/>
        <v>357222.3021188642</v>
      </c>
      <c r="BN118" s="47">
        <f t="shared" si="65"/>
        <v>1490808.9494039067</v>
      </c>
      <c r="BO118" s="47">
        <f t="shared" ref="BO118:CB118" si="66">BO43</f>
        <v>752603.38075559423</v>
      </c>
      <c r="BP118" s="47">
        <f t="shared" si="66"/>
        <v>942562.18980541697</v>
      </c>
      <c r="BQ118" s="47">
        <f t="shared" si="66"/>
        <v>1989030.252728445</v>
      </c>
      <c r="BR118" s="47">
        <f t="shared" si="66"/>
        <v>1389993.3486359848</v>
      </c>
      <c r="BS118" s="47">
        <f t="shared" si="66"/>
        <v>547863.12987193349</v>
      </c>
      <c r="BT118" s="47">
        <f t="shared" si="66"/>
        <v>4221026.2088389164</v>
      </c>
      <c r="BU118" s="47">
        <f t="shared" si="66"/>
        <v>985014.64747497893</v>
      </c>
      <c r="BV118" s="47">
        <f t="shared" si="66"/>
        <v>845809.6329129684</v>
      </c>
      <c r="BW118" s="47">
        <f t="shared" si="66"/>
        <v>246431.57108366472</v>
      </c>
      <c r="BX118" s="47">
        <f t="shared" si="66"/>
        <v>500233.22325398133</v>
      </c>
      <c r="BY118" s="47">
        <f t="shared" si="66"/>
        <v>3288629.5727246506</v>
      </c>
      <c r="BZ118" s="47">
        <f t="shared" si="66"/>
        <v>330859.21950016159</v>
      </c>
      <c r="CA118" s="47">
        <f t="shared" si="66"/>
        <v>571810.0644006395</v>
      </c>
      <c r="CB118" s="47">
        <f t="shared" si="66"/>
        <v>1538880.3822214524</v>
      </c>
    </row>
    <row r="119" spans="1:82" x14ac:dyDescent="0.2">
      <c r="B119" s="33" t="s">
        <v>88</v>
      </c>
      <c r="C119" s="47">
        <f t="shared" ref="C119:AH119" si="67">C48</f>
        <v>1496670.9699999997</v>
      </c>
      <c r="D119" s="47">
        <f t="shared" si="67"/>
        <v>315496.09999999998</v>
      </c>
      <c r="E119" s="47">
        <f t="shared" si="67"/>
        <v>29859.1</v>
      </c>
      <c r="F119" s="47">
        <f t="shared" si="67"/>
        <v>3140.85</v>
      </c>
      <c r="G119" s="47">
        <f t="shared" si="67"/>
        <v>2504.4</v>
      </c>
      <c r="H119" s="47">
        <f t="shared" si="67"/>
        <v>10751.6</v>
      </c>
      <c r="I119" s="47">
        <f t="shared" si="67"/>
        <v>16182.65</v>
      </c>
      <c r="J119" s="47">
        <f t="shared" si="67"/>
        <v>13426.2</v>
      </c>
      <c r="K119" s="47">
        <f t="shared" si="67"/>
        <v>2100.1999999999998</v>
      </c>
      <c r="L119" s="47">
        <f t="shared" si="67"/>
        <v>0</v>
      </c>
      <c r="M119" s="47">
        <f t="shared" si="67"/>
        <v>2700.35</v>
      </c>
      <c r="N119" s="47">
        <f t="shared" si="67"/>
        <v>6236.15</v>
      </c>
      <c r="O119" s="47">
        <f t="shared" si="67"/>
        <v>15149.4</v>
      </c>
      <c r="P119" s="47">
        <f t="shared" si="67"/>
        <v>38761</v>
      </c>
      <c r="Q119" s="47">
        <f t="shared" si="67"/>
        <v>20816.09</v>
      </c>
      <c r="R119" s="47">
        <f t="shared" si="67"/>
        <v>11509</v>
      </c>
      <c r="S119" s="47">
        <f t="shared" si="67"/>
        <v>12559</v>
      </c>
      <c r="T119" s="47">
        <f t="shared" si="67"/>
        <v>28071.35</v>
      </c>
      <c r="U119" s="47">
        <f t="shared" si="67"/>
        <v>0</v>
      </c>
      <c r="V119" s="47">
        <f t="shared" si="67"/>
        <v>9221.7000000000007</v>
      </c>
      <c r="W119" s="47">
        <f t="shared" si="67"/>
        <v>15918.45</v>
      </c>
      <c r="X119" s="47">
        <f t="shared" si="67"/>
        <v>16265.94</v>
      </c>
      <c r="Y119" s="47">
        <f t="shared" si="67"/>
        <v>7662</v>
      </c>
      <c r="Z119" s="47">
        <f t="shared" si="67"/>
        <v>3811.55</v>
      </c>
      <c r="AA119" s="47">
        <f t="shared" si="67"/>
        <v>39114.65</v>
      </c>
      <c r="AB119" s="47">
        <f t="shared" si="67"/>
        <v>2127.8000000000002</v>
      </c>
      <c r="AC119" s="47">
        <f t="shared" si="67"/>
        <v>24656.95</v>
      </c>
      <c r="AD119" s="47">
        <f t="shared" si="67"/>
        <v>3990.2</v>
      </c>
      <c r="AE119" s="47">
        <f t="shared" si="67"/>
        <v>21996.65</v>
      </c>
      <c r="AF119" s="47">
        <f t="shared" si="67"/>
        <v>7379.5</v>
      </c>
      <c r="AG119" s="47">
        <f t="shared" si="67"/>
        <v>22095.3</v>
      </c>
      <c r="AH119" s="47">
        <f t="shared" si="67"/>
        <v>33271.800000000003</v>
      </c>
      <c r="AI119" s="47">
        <f t="shared" ref="AI119:BN119" si="68">AI48</f>
        <v>6400.9</v>
      </c>
      <c r="AJ119" s="47">
        <f t="shared" si="68"/>
        <v>9445.0499999999993</v>
      </c>
      <c r="AK119" s="47">
        <f t="shared" si="68"/>
        <v>12366.55</v>
      </c>
      <c r="AL119" s="47">
        <f t="shared" si="68"/>
        <v>9229.85</v>
      </c>
      <c r="AM119" s="47">
        <f t="shared" si="68"/>
        <v>11211.9</v>
      </c>
      <c r="AN119" s="47">
        <f t="shared" si="68"/>
        <v>25875.7</v>
      </c>
      <c r="AO119" s="47">
        <f t="shared" si="68"/>
        <v>23737.599999999999</v>
      </c>
      <c r="AP119" s="47">
        <f t="shared" si="68"/>
        <v>11533.6</v>
      </c>
      <c r="AQ119" s="47">
        <f t="shared" si="68"/>
        <v>11539.8</v>
      </c>
      <c r="AR119" s="47">
        <f t="shared" si="68"/>
        <v>184.2</v>
      </c>
      <c r="AS119" s="47">
        <f t="shared" si="68"/>
        <v>5540.5</v>
      </c>
      <c r="AT119" s="47">
        <f t="shared" si="68"/>
        <v>6201</v>
      </c>
      <c r="AU119" s="47">
        <f t="shared" si="68"/>
        <v>6537.05</v>
      </c>
      <c r="AV119" s="47">
        <f t="shared" si="68"/>
        <v>5639.6</v>
      </c>
      <c r="AW119" s="47">
        <f t="shared" si="68"/>
        <v>7030.35</v>
      </c>
      <c r="AX119" s="47">
        <f t="shared" si="68"/>
        <v>10164.15</v>
      </c>
      <c r="AY119" s="47">
        <f t="shared" si="68"/>
        <v>22581.200000000001</v>
      </c>
      <c r="AZ119" s="47">
        <f t="shared" si="68"/>
        <v>13551.3</v>
      </c>
      <c r="BA119" s="47">
        <f t="shared" si="68"/>
        <v>101229.65</v>
      </c>
      <c r="BB119" s="47">
        <f t="shared" si="68"/>
        <v>18094.2</v>
      </c>
      <c r="BC119" s="47">
        <f t="shared" si="68"/>
        <v>7466.6</v>
      </c>
      <c r="BD119" s="47">
        <f t="shared" si="68"/>
        <v>19256.150000000001</v>
      </c>
      <c r="BE119" s="47">
        <f t="shared" si="68"/>
        <v>12271.9</v>
      </c>
      <c r="BF119" s="47">
        <f t="shared" si="68"/>
        <v>35545.199999999997</v>
      </c>
      <c r="BG119" s="47">
        <f t="shared" si="68"/>
        <v>3638.15</v>
      </c>
      <c r="BH119" s="47">
        <f t="shared" si="68"/>
        <v>1671.8</v>
      </c>
      <c r="BI119" s="47">
        <f t="shared" si="68"/>
        <v>16230.55</v>
      </c>
      <c r="BJ119" s="47">
        <f t="shared" si="68"/>
        <v>4072.1</v>
      </c>
      <c r="BK119" s="47">
        <f t="shared" si="68"/>
        <v>15964</v>
      </c>
      <c r="BL119" s="47">
        <f t="shared" si="68"/>
        <v>6954.01</v>
      </c>
      <c r="BM119" s="47">
        <f t="shared" si="68"/>
        <v>9156.64</v>
      </c>
      <c r="BN119" s="47">
        <f t="shared" si="68"/>
        <v>29000.55</v>
      </c>
      <c r="BO119" s="47">
        <f t="shared" ref="BO119:CB119" si="69">BO48</f>
        <v>6978.15</v>
      </c>
      <c r="BP119" s="47">
        <f t="shared" si="69"/>
        <v>12604</v>
      </c>
      <c r="BQ119" s="47">
        <f t="shared" si="69"/>
        <v>28861.1</v>
      </c>
      <c r="BR119" s="47">
        <f t="shared" si="69"/>
        <v>30589.75</v>
      </c>
      <c r="BS119" s="47">
        <f t="shared" si="69"/>
        <v>12077.65</v>
      </c>
      <c r="BT119" s="47">
        <f t="shared" si="69"/>
        <v>98380.5</v>
      </c>
      <c r="BU119" s="47">
        <f t="shared" si="69"/>
        <v>8191.1</v>
      </c>
      <c r="BV119" s="47">
        <f t="shared" si="69"/>
        <v>9779.5</v>
      </c>
      <c r="BW119" s="47">
        <f t="shared" si="69"/>
        <v>1307.4000000000001</v>
      </c>
      <c r="BX119" s="47">
        <f t="shared" si="69"/>
        <v>7949.7</v>
      </c>
      <c r="BY119" s="47">
        <f t="shared" si="69"/>
        <v>29652.7</v>
      </c>
      <c r="BZ119" s="47">
        <f t="shared" si="69"/>
        <v>5300.95</v>
      </c>
      <c r="CA119" s="47">
        <f t="shared" si="69"/>
        <v>12081.34</v>
      </c>
      <c r="CB119" s="47">
        <f t="shared" si="69"/>
        <v>16819.400000000001</v>
      </c>
    </row>
    <row r="120" spans="1:82" x14ac:dyDescent="0.2">
      <c r="B120" s="33" t="s">
        <v>2</v>
      </c>
      <c r="C120" s="47">
        <f t="shared" ref="C120:AH120" si="70">C53</f>
        <v>55964774.610000007</v>
      </c>
      <c r="D120" s="47">
        <f t="shared" si="70"/>
        <v>9326151.5999999996</v>
      </c>
      <c r="E120" s="47">
        <f t="shared" si="70"/>
        <v>940172.85</v>
      </c>
      <c r="F120" s="47">
        <f t="shared" si="70"/>
        <v>102144.65</v>
      </c>
      <c r="G120" s="47">
        <f t="shared" si="70"/>
        <v>57576.85</v>
      </c>
      <c r="H120" s="47">
        <f t="shared" si="70"/>
        <v>473549.75</v>
      </c>
      <c r="I120" s="47">
        <f t="shared" si="70"/>
        <v>1700087.84</v>
      </c>
      <c r="J120" s="47">
        <f t="shared" si="70"/>
        <v>221270</v>
      </c>
      <c r="K120" s="47">
        <f t="shared" si="70"/>
        <v>40380</v>
      </c>
      <c r="L120" s="47">
        <f t="shared" si="70"/>
        <v>114789.35</v>
      </c>
      <c r="M120" s="47">
        <f t="shared" si="70"/>
        <v>61705.95</v>
      </c>
      <c r="N120" s="47">
        <f t="shared" si="70"/>
        <v>180975.5</v>
      </c>
      <c r="O120" s="47">
        <f t="shared" si="70"/>
        <v>1554869.65</v>
      </c>
      <c r="P120" s="47">
        <f t="shared" si="70"/>
        <v>1057648.55</v>
      </c>
      <c r="Q120" s="47">
        <f t="shared" si="70"/>
        <v>789095.95</v>
      </c>
      <c r="R120" s="47">
        <f t="shared" si="70"/>
        <v>283610</v>
      </c>
      <c r="S120" s="47">
        <f t="shared" si="70"/>
        <v>455438</v>
      </c>
      <c r="T120" s="47">
        <f t="shared" si="70"/>
        <v>1545956.5</v>
      </c>
      <c r="U120" s="47">
        <f t="shared" si="70"/>
        <v>392514</v>
      </c>
      <c r="V120" s="47">
        <f t="shared" si="70"/>
        <v>583003.54999999993</v>
      </c>
      <c r="W120" s="47">
        <f t="shared" si="70"/>
        <v>678553.7</v>
      </c>
      <c r="X120" s="47">
        <f t="shared" si="70"/>
        <v>930639.5</v>
      </c>
      <c r="Y120" s="47">
        <f t="shared" si="70"/>
        <v>371287</v>
      </c>
      <c r="Z120" s="47">
        <f t="shared" si="70"/>
        <v>136238</v>
      </c>
      <c r="AA120" s="47">
        <f t="shared" si="70"/>
        <v>932829.3</v>
      </c>
      <c r="AB120" s="47">
        <f t="shared" si="70"/>
        <v>118436.3</v>
      </c>
      <c r="AC120" s="47">
        <f t="shared" si="70"/>
        <v>449071.9</v>
      </c>
      <c r="AD120" s="47">
        <f t="shared" si="70"/>
        <v>246230.15</v>
      </c>
      <c r="AE120" s="47">
        <f t="shared" si="70"/>
        <v>835575.9</v>
      </c>
      <c r="AF120" s="47">
        <f t="shared" si="70"/>
        <v>269807.45</v>
      </c>
      <c r="AG120" s="47">
        <f t="shared" si="70"/>
        <v>606637.1</v>
      </c>
      <c r="AH120" s="47">
        <f t="shared" si="70"/>
        <v>1839979.14</v>
      </c>
      <c r="AI120" s="47">
        <f t="shared" ref="AI120:BN120" si="71">AI53</f>
        <v>616994.1</v>
      </c>
      <c r="AJ120" s="47">
        <f t="shared" si="71"/>
        <v>585343.44999999995</v>
      </c>
      <c r="AK120" s="47">
        <f t="shared" si="71"/>
        <v>374113</v>
      </c>
      <c r="AL120" s="47">
        <f t="shared" si="71"/>
        <v>392687.15</v>
      </c>
      <c r="AM120" s="47">
        <f t="shared" si="71"/>
        <v>773348.45</v>
      </c>
      <c r="AN120" s="47">
        <f t="shared" si="71"/>
        <v>83586.75</v>
      </c>
      <c r="AO120" s="47">
        <f t="shared" si="71"/>
        <v>709518.65</v>
      </c>
      <c r="AP120" s="47">
        <f t="shared" si="71"/>
        <v>636672.1</v>
      </c>
      <c r="AQ120" s="47">
        <f t="shared" si="71"/>
        <v>402905.95</v>
      </c>
      <c r="AR120" s="47">
        <f t="shared" si="71"/>
        <v>525083.6</v>
      </c>
      <c r="AS120" s="47">
        <f t="shared" si="71"/>
        <v>314900.45</v>
      </c>
      <c r="AT120" s="47">
        <f t="shared" si="71"/>
        <v>151944.45000000001</v>
      </c>
      <c r="AU120" s="47">
        <f t="shared" si="71"/>
        <v>407758.25</v>
      </c>
      <c r="AV120" s="47">
        <f t="shared" si="71"/>
        <v>211052.75</v>
      </c>
      <c r="AW120" s="47">
        <f t="shared" si="71"/>
        <v>411356.9</v>
      </c>
      <c r="AX120" s="47">
        <f t="shared" si="71"/>
        <v>714685.58000000007</v>
      </c>
      <c r="AY120" s="47">
        <f t="shared" si="71"/>
        <v>773955.95</v>
      </c>
      <c r="AZ120" s="47">
        <f t="shared" si="71"/>
        <v>612018.19999999995</v>
      </c>
      <c r="BA120" s="47">
        <f t="shared" si="71"/>
        <v>4012179.55</v>
      </c>
      <c r="BB120" s="47">
        <f t="shared" si="71"/>
        <v>859494.5</v>
      </c>
      <c r="BC120" s="47">
        <f t="shared" si="71"/>
        <v>337941.9</v>
      </c>
      <c r="BD120" s="47">
        <f t="shared" si="71"/>
        <v>313935.25</v>
      </c>
      <c r="BE120" s="47">
        <f t="shared" si="71"/>
        <v>457321</v>
      </c>
      <c r="BF120" s="47">
        <f t="shared" si="71"/>
        <v>702183.3</v>
      </c>
      <c r="BG120" s="47">
        <f t="shared" si="71"/>
        <v>225336.6</v>
      </c>
      <c r="BH120" s="47">
        <f t="shared" si="71"/>
        <v>101452.95</v>
      </c>
      <c r="BI120" s="47">
        <f t="shared" si="71"/>
        <v>481611.45</v>
      </c>
      <c r="BJ120" s="47">
        <f t="shared" si="71"/>
        <v>82960.600000000006</v>
      </c>
      <c r="BK120" s="47">
        <f t="shared" si="71"/>
        <v>427762.3</v>
      </c>
      <c r="BL120" s="47">
        <f t="shared" si="71"/>
        <v>156559.45000000001</v>
      </c>
      <c r="BM120" s="47">
        <f t="shared" si="71"/>
        <v>108263.5</v>
      </c>
      <c r="BN120" s="47">
        <f t="shared" si="71"/>
        <v>819816.2</v>
      </c>
      <c r="BO120" s="47">
        <f t="shared" ref="BO120:CB120" si="72">BO53</f>
        <v>449409.3</v>
      </c>
      <c r="BP120" s="47">
        <f t="shared" si="72"/>
        <v>577450.35</v>
      </c>
      <c r="BQ120" s="47">
        <f t="shared" si="72"/>
        <v>1516627.95</v>
      </c>
      <c r="BR120" s="47">
        <f t="shared" si="72"/>
        <v>888990.5</v>
      </c>
      <c r="BS120" s="47">
        <f t="shared" si="72"/>
        <v>291214.75</v>
      </c>
      <c r="BT120" s="47">
        <f t="shared" si="72"/>
        <v>3063307.05</v>
      </c>
      <c r="BU120" s="47">
        <f t="shared" si="72"/>
        <v>538237</v>
      </c>
      <c r="BV120" s="47">
        <f t="shared" si="72"/>
        <v>451779.9</v>
      </c>
      <c r="BW120" s="47">
        <f t="shared" si="72"/>
        <v>78205.05</v>
      </c>
      <c r="BX120" s="47">
        <f t="shared" si="72"/>
        <v>192888.45</v>
      </c>
      <c r="BY120" s="47">
        <f t="shared" si="72"/>
        <v>1707408.2</v>
      </c>
      <c r="BZ120" s="47">
        <f t="shared" si="72"/>
        <v>159189.5</v>
      </c>
      <c r="CA120" s="47">
        <f t="shared" si="72"/>
        <v>347406</v>
      </c>
      <c r="CB120" s="47">
        <f t="shared" si="72"/>
        <v>621690.35</v>
      </c>
    </row>
    <row r="121" spans="1:82" x14ac:dyDescent="0.2">
      <c r="B121" s="33" t="s">
        <v>3</v>
      </c>
      <c r="C121" s="47">
        <f t="shared" ref="C121:AH121" si="73">C58</f>
        <v>63158909.849999994</v>
      </c>
      <c r="D121" s="47">
        <f t="shared" si="73"/>
        <v>8881715.4000000004</v>
      </c>
      <c r="E121" s="47">
        <f t="shared" si="73"/>
        <v>650498.29999999993</v>
      </c>
      <c r="F121" s="47">
        <f t="shared" si="73"/>
        <v>27462.799999999999</v>
      </c>
      <c r="G121" s="47">
        <f t="shared" si="73"/>
        <v>80270</v>
      </c>
      <c r="H121" s="47">
        <f t="shared" si="73"/>
        <v>759078.15</v>
      </c>
      <c r="I121" s="47">
        <f t="shared" si="73"/>
        <v>1178067.55</v>
      </c>
      <c r="J121" s="47">
        <f t="shared" si="73"/>
        <v>303432.40000000002</v>
      </c>
      <c r="K121" s="47">
        <f t="shared" si="73"/>
        <v>32209.85</v>
      </c>
      <c r="L121" s="47">
        <f t="shared" si="73"/>
        <v>141222.04999999999</v>
      </c>
      <c r="M121" s="47">
        <f t="shared" si="73"/>
        <v>67491.899999999994</v>
      </c>
      <c r="N121" s="47">
        <f t="shared" si="73"/>
        <v>136075.84999999998</v>
      </c>
      <c r="O121" s="47">
        <f t="shared" si="73"/>
        <v>965978.20000000007</v>
      </c>
      <c r="P121" s="47">
        <f t="shared" si="73"/>
        <v>726847.54999999993</v>
      </c>
      <c r="Q121" s="47">
        <f t="shared" si="73"/>
        <v>1419810.5499999998</v>
      </c>
      <c r="R121" s="47">
        <f t="shared" si="73"/>
        <v>302886.75</v>
      </c>
      <c r="S121" s="47">
        <f t="shared" si="73"/>
        <v>449161.8</v>
      </c>
      <c r="T121" s="47">
        <f t="shared" si="73"/>
        <v>1352680.0999999999</v>
      </c>
      <c r="U121" s="47">
        <f t="shared" si="73"/>
        <v>436962.4</v>
      </c>
      <c r="V121" s="47">
        <f t="shared" si="73"/>
        <v>1057736.6000000001</v>
      </c>
      <c r="W121" s="47">
        <f t="shared" si="73"/>
        <v>1075757.9500000002</v>
      </c>
      <c r="X121" s="47">
        <f t="shared" si="73"/>
        <v>1393709.8499999999</v>
      </c>
      <c r="Y121" s="47">
        <f t="shared" si="73"/>
        <v>508200.9</v>
      </c>
      <c r="Z121" s="47">
        <f t="shared" si="73"/>
        <v>342935.85000000003</v>
      </c>
      <c r="AA121" s="47">
        <f t="shared" si="73"/>
        <v>1511560.7000000002</v>
      </c>
      <c r="AB121" s="47">
        <f t="shared" si="73"/>
        <v>3704.2</v>
      </c>
      <c r="AC121" s="47">
        <f t="shared" si="73"/>
        <v>853990.70000000007</v>
      </c>
      <c r="AD121" s="47">
        <f t="shared" si="73"/>
        <v>348692.25</v>
      </c>
      <c r="AE121" s="47">
        <f t="shared" si="73"/>
        <v>1038982.3999999999</v>
      </c>
      <c r="AF121" s="47">
        <f t="shared" si="73"/>
        <v>311815.2</v>
      </c>
      <c r="AG121" s="47">
        <f t="shared" si="73"/>
        <v>982344.35</v>
      </c>
      <c r="AH121" s="47">
        <f t="shared" si="73"/>
        <v>1072100.1499999999</v>
      </c>
      <c r="AI121" s="47">
        <f t="shared" ref="AI121:BN121" si="74">AI58</f>
        <v>672945.64999999991</v>
      </c>
      <c r="AJ121" s="47">
        <f t="shared" si="74"/>
        <v>406347.3</v>
      </c>
      <c r="AK121" s="47">
        <f t="shared" si="74"/>
        <v>746310.9</v>
      </c>
      <c r="AL121" s="47">
        <f t="shared" si="74"/>
        <v>496073.8</v>
      </c>
      <c r="AM121" s="47">
        <f t="shared" si="74"/>
        <v>1421857.1</v>
      </c>
      <c r="AN121" s="47">
        <f t="shared" si="74"/>
        <v>51320.55</v>
      </c>
      <c r="AO121" s="47">
        <f t="shared" si="74"/>
        <v>607879.44999999995</v>
      </c>
      <c r="AP121" s="47">
        <f t="shared" si="74"/>
        <v>-18988.600000000002</v>
      </c>
      <c r="AQ121" s="47">
        <f t="shared" si="74"/>
        <v>813446.6</v>
      </c>
      <c r="AR121" s="47">
        <f t="shared" si="74"/>
        <v>449050.5</v>
      </c>
      <c r="AS121" s="47">
        <f t="shared" si="74"/>
        <v>387141.75</v>
      </c>
      <c r="AT121" s="47">
        <f t="shared" si="74"/>
        <v>291405.55</v>
      </c>
      <c r="AU121" s="47">
        <f t="shared" si="74"/>
        <v>374054.35000000003</v>
      </c>
      <c r="AV121" s="47">
        <f t="shared" si="74"/>
        <v>336434.25</v>
      </c>
      <c r="AW121" s="47">
        <f t="shared" si="74"/>
        <v>459276.45</v>
      </c>
      <c r="AX121" s="47">
        <f t="shared" si="74"/>
        <v>971481.15</v>
      </c>
      <c r="AY121" s="47">
        <f t="shared" si="74"/>
        <v>511726.2</v>
      </c>
      <c r="AZ121" s="47">
        <f t="shared" si="74"/>
        <v>1078875.3500000001</v>
      </c>
      <c r="BA121" s="47">
        <f t="shared" si="74"/>
        <v>7731299.0499999998</v>
      </c>
      <c r="BB121" s="47">
        <f t="shared" si="74"/>
        <v>910334.85000000009</v>
      </c>
      <c r="BC121" s="47">
        <f t="shared" si="74"/>
        <v>533824.75</v>
      </c>
      <c r="BD121" s="47">
        <f t="shared" si="74"/>
        <v>233851.1</v>
      </c>
      <c r="BE121" s="47">
        <f t="shared" si="74"/>
        <v>457914.5</v>
      </c>
      <c r="BF121" s="47">
        <f t="shared" si="74"/>
        <v>665903.15</v>
      </c>
      <c r="BG121" s="47">
        <f t="shared" si="74"/>
        <v>64117.1</v>
      </c>
      <c r="BH121" s="47">
        <f t="shared" si="74"/>
        <v>199418.6</v>
      </c>
      <c r="BI121" s="47">
        <f t="shared" si="74"/>
        <v>292855.05</v>
      </c>
      <c r="BJ121" s="47">
        <f t="shared" si="74"/>
        <v>7277.45</v>
      </c>
      <c r="BK121" s="47">
        <f t="shared" si="74"/>
        <v>408790.39999999997</v>
      </c>
      <c r="BL121" s="47">
        <f t="shared" si="74"/>
        <v>120899.85</v>
      </c>
      <c r="BM121" s="47">
        <f t="shared" si="74"/>
        <v>104012.8</v>
      </c>
      <c r="BN121" s="47">
        <f t="shared" si="74"/>
        <v>974844.65</v>
      </c>
      <c r="BO121" s="47">
        <f t="shared" ref="BO121:CB121" si="75">BO58</f>
        <v>735254.95</v>
      </c>
      <c r="BP121" s="47">
        <f t="shared" si="75"/>
        <v>588541.65</v>
      </c>
      <c r="BQ121" s="47">
        <f t="shared" si="75"/>
        <v>1496751.6</v>
      </c>
      <c r="BR121" s="47">
        <f t="shared" si="75"/>
        <v>1082914.3999999999</v>
      </c>
      <c r="BS121" s="47">
        <f t="shared" si="75"/>
        <v>362311.75</v>
      </c>
      <c r="BT121" s="47">
        <f t="shared" si="75"/>
        <v>3693175.35</v>
      </c>
      <c r="BU121" s="47">
        <f t="shared" si="75"/>
        <v>591578.30000000005</v>
      </c>
      <c r="BV121" s="47">
        <f t="shared" si="75"/>
        <v>569513.75</v>
      </c>
      <c r="BW121" s="47">
        <f t="shared" si="75"/>
        <v>54246.55</v>
      </c>
      <c r="BX121" s="47">
        <f t="shared" si="75"/>
        <v>416519.6</v>
      </c>
      <c r="BY121" s="47">
        <f t="shared" si="75"/>
        <v>683662.3</v>
      </c>
      <c r="BZ121" s="47">
        <f t="shared" si="75"/>
        <v>200850.55</v>
      </c>
      <c r="CA121" s="47">
        <f t="shared" si="75"/>
        <v>492811</v>
      </c>
      <c r="CB121" s="47">
        <f t="shared" si="75"/>
        <v>1015413.8</v>
      </c>
    </row>
    <row r="122" spans="1:82" x14ac:dyDescent="0.2">
      <c r="B122" s="33" t="s">
        <v>82</v>
      </c>
      <c r="C122" s="47">
        <f>SUM(C115:C121)</f>
        <v>1793173450.813848</v>
      </c>
      <c r="D122" s="47">
        <f t="shared" ref="D122:BO122" si="76">SUM(D115:D121)</f>
        <v>293234926.25659138</v>
      </c>
      <c r="E122" s="47">
        <f t="shared" si="76"/>
        <v>27240660.828129862</v>
      </c>
      <c r="F122" s="47">
        <f t="shared" si="76"/>
        <v>3834656.4647438531</v>
      </c>
      <c r="G122" s="47">
        <f t="shared" si="76"/>
        <v>3088145.9617874692</v>
      </c>
      <c r="H122" s="47">
        <f t="shared" si="76"/>
        <v>21766139.880093057</v>
      </c>
      <c r="I122" s="47">
        <f t="shared" si="76"/>
        <v>33473787.560909837</v>
      </c>
      <c r="J122" s="47">
        <f t="shared" si="76"/>
        <v>12433060.198101792</v>
      </c>
      <c r="K122" s="47">
        <f t="shared" si="76"/>
        <v>2967360.5507657472</v>
      </c>
      <c r="L122" s="47">
        <f t="shared" si="76"/>
        <v>6019046.5327657619</v>
      </c>
      <c r="M122" s="47">
        <f t="shared" si="76"/>
        <v>3265900.6938759466</v>
      </c>
      <c r="N122" s="47">
        <f t="shared" si="76"/>
        <v>7019277.8566282354</v>
      </c>
      <c r="O122" s="47">
        <f t="shared" si="76"/>
        <v>25922844.227492467</v>
      </c>
      <c r="P122" s="47">
        <f t="shared" si="76"/>
        <v>26303928.016905122</v>
      </c>
      <c r="Q122" s="47">
        <f t="shared" si="76"/>
        <v>29990300.790651862</v>
      </c>
      <c r="R122" s="47">
        <f t="shared" si="76"/>
        <v>9914507.1527790688</v>
      </c>
      <c r="S122" s="47">
        <f t="shared" si="76"/>
        <v>15582168.384919848</v>
      </c>
      <c r="T122" s="47">
        <f t="shared" si="76"/>
        <v>33109806.868987363</v>
      </c>
      <c r="U122" s="47">
        <f t="shared" si="76"/>
        <v>15697374.560331352</v>
      </c>
      <c r="V122" s="47">
        <f t="shared" si="76"/>
        <v>28165304.135224357</v>
      </c>
      <c r="W122" s="47">
        <f t="shared" si="76"/>
        <v>23660393.298323784</v>
      </c>
      <c r="X122" s="47">
        <f t="shared" si="76"/>
        <v>38485468.588413581</v>
      </c>
      <c r="Y122" s="47">
        <f t="shared" si="76"/>
        <v>14381767.663600026</v>
      </c>
      <c r="Z122" s="47">
        <f t="shared" si="76"/>
        <v>6396523.5989920674</v>
      </c>
      <c r="AA122" s="47">
        <f t="shared" si="76"/>
        <v>39127196.673219971</v>
      </c>
      <c r="AB122" s="47">
        <f t="shared" si="76"/>
        <v>4164308.3639421398</v>
      </c>
      <c r="AC122" s="47">
        <f t="shared" si="76"/>
        <v>29911077.996496607</v>
      </c>
      <c r="AD122" s="47">
        <f t="shared" si="76"/>
        <v>7108463.7407884318</v>
      </c>
      <c r="AE122" s="47">
        <f t="shared" si="76"/>
        <v>23884953.211335961</v>
      </c>
      <c r="AF122" s="47">
        <f t="shared" si="76"/>
        <v>9716699.416545311</v>
      </c>
      <c r="AG122" s="47">
        <f t="shared" si="76"/>
        <v>20576501.347863175</v>
      </c>
      <c r="AH122" s="47">
        <f t="shared" si="76"/>
        <v>48874402.343494982</v>
      </c>
      <c r="AI122" s="47">
        <f t="shared" si="76"/>
        <v>16170493.892106269</v>
      </c>
      <c r="AJ122" s="47">
        <f t="shared" si="76"/>
        <v>14550673.119901953</v>
      </c>
      <c r="AK122" s="47">
        <f t="shared" si="76"/>
        <v>18689730.021143056</v>
      </c>
      <c r="AL122" s="47">
        <f t="shared" si="76"/>
        <v>13514464.334969057</v>
      </c>
      <c r="AM122" s="47">
        <f t="shared" si="76"/>
        <v>23329851.52044737</v>
      </c>
      <c r="AN122" s="47">
        <f t="shared" si="76"/>
        <v>3751494.9927479401</v>
      </c>
      <c r="AO122" s="47">
        <f t="shared" si="76"/>
        <v>23325157.154848408</v>
      </c>
      <c r="AP122" s="47">
        <f t="shared" si="76"/>
        <v>13451732.500501383</v>
      </c>
      <c r="AQ122" s="47">
        <f t="shared" si="76"/>
        <v>16809227.745760359</v>
      </c>
      <c r="AR122" s="47">
        <f t="shared" si="76"/>
        <v>9276498.3520792332</v>
      </c>
      <c r="AS122" s="47">
        <f t="shared" si="76"/>
        <v>7145249.3909127228</v>
      </c>
      <c r="AT122" s="47">
        <f t="shared" si="76"/>
        <v>6774560.7172428016</v>
      </c>
      <c r="AU122" s="47">
        <f t="shared" si="76"/>
        <v>10322648.714027705</v>
      </c>
      <c r="AV122" s="47">
        <f t="shared" si="76"/>
        <v>8128154.0907442989</v>
      </c>
      <c r="AW122" s="47">
        <f t="shared" si="76"/>
        <v>13194789.057650372</v>
      </c>
      <c r="AX122" s="47">
        <f t="shared" si="76"/>
        <v>18274744.713757191</v>
      </c>
      <c r="AY122" s="47">
        <f t="shared" si="76"/>
        <v>19989381.852351401</v>
      </c>
      <c r="AZ122" s="47">
        <f t="shared" si="76"/>
        <v>13845372.816453615</v>
      </c>
      <c r="BA122" s="47">
        <f t="shared" si="76"/>
        <v>168881981.30823907</v>
      </c>
      <c r="BB122" s="47">
        <f t="shared" si="76"/>
        <v>29582320.38689423</v>
      </c>
      <c r="BC122" s="47">
        <f t="shared" si="76"/>
        <v>8576320.4989701677</v>
      </c>
      <c r="BD122" s="47">
        <f t="shared" si="76"/>
        <v>8627885.1201499272</v>
      </c>
      <c r="BE122" s="47">
        <f t="shared" si="76"/>
        <v>13185780.073136149</v>
      </c>
      <c r="BF122" s="47">
        <f t="shared" si="76"/>
        <v>22199063.84234228</v>
      </c>
      <c r="BG122" s="47">
        <f t="shared" si="76"/>
        <v>5186332.0423316834</v>
      </c>
      <c r="BH122" s="47">
        <f t="shared" si="76"/>
        <v>2965261.814680283</v>
      </c>
      <c r="BI122" s="47">
        <f t="shared" si="76"/>
        <v>8160492.779274323</v>
      </c>
      <c r="BJ122" s="47">
        <f t="shared" si="76"/>
        <v>1917956.3188320056</v>
      </c>
      <c r="BK122" s="47">
        <f t="shared" si="76"/>
        <v>13241588.500496691</v>
      </c>
      <c r="BL122" s="47">
        <f t="shared" si="76"/>
        <v>3726679.3515600511</v>
      </c>
      <c r="BM122" s="47">
        <f t="shared" si="76"/>
        <v>5867196.664079844</v>
      </c>
      <c r="BN122" s="47">
        <f t="shared" si="76"/>
        <v>25561325.833002128</v>
      </c>
      <c r="BO122" s="47">
        <f t="shared" si="76"/>
        <v>11743351.941587538</v>
      </c>
      <c r="BP122" s="47">
        <f t="shared" ref="BP122:CB122" si="77">SUM(BP115:BP121)</f>
        <v>18768859.090211283</v>
      </c>
      <c r="BQ122" s="47">
        <f t="shared" si="77"/>
        <v>38453160.081695125</v>
      </c>
      <c r="BR122" s="47">
        <f t="shared" si="77"/>
        <v>29652546.479607292</v>
      </c>
      <c r="BS122" s="47">
        <f t="shared" si="77"/>
        <v>10308740.524851715</v>
      </c>
      <c r="BT122" s="47">
        <f t="shared" si="77"/>
        <v>91720421.586024359</v>
      </c>
      <c r="BU122" s="47">
        <f t="shared" si="77"/>
        <v>20525315.449200928</v>
      </c>
      <c r="BV122" s="47">
        <f t="shared" si="77"/>
        <v>16763387.755735071</v>
      </c>
      <c r="BW122" s="47">
        <f t="shared" si="77"/>
        <v>4021103.4471493685</v>
      </c>
      <c r="BX122" s="47">
        <f t="shared" si="77"/>
        <v>9288774.3892720547</v>
      </c>
      <c r="BY122" s="47">
        <f t="shared" si="77"/>
        <v>58892111.482278861</v>
      </c>
      <c r="BZ122" s="47">
        <f t="shared" si="77"/>
        <v>6739692.6591369053</v>
      </c>
      <c r="CA122" s="47">
        <f t="shared" si="77"/>
        <v>10158909.361954013</v>
      </c>
      <c r="CB122" s="47">
        <f t="shared" si="77"/>
        <v>32595713.878809914</v>
      </c>
    </row>
    <row r="123" spans="1:82" x14ac:dyDescent="0.2">
      <c r="B123" s="33"/>
      <c r="C123" s="33"/>
    </row>
    <row r="124" spans="1:82" x14ac:dyDescent="0.2">
      <c r="B124" s="33" t="s">
        <v>83</v>
      </c>
      <c r="C124" s="48">
        <f>SUM(D124:CB124)</f>
        <v>510734</v>
      </c>
      <c r="D124" s="48">
        <v>76090</v>
      </c>
      <c r="E124" s="48">
        <v>9706</v>
      </c>
      <c r="F124" s="48">
        <v>1390</v>
      </c>
      <c r="G124" s="48">
        <v>1220</v>
      </c>
      <c r="H124" s="48">
        <v>3658</v>
      </c>
      <c r="I124" s="48">
        <v>9504</v>
      </c>
      <c r="J124" s="48">
        <v>3608</v>
      </c>
      <c r="K124" s="48">
        <v>851</v>
      </c>
      <c r="L124" s="48">
        <v>1438</v>
      </c>
      <c r="M124" s="48">
        <v>1046</v>
      </c>
      <c r="N124" s="48">
        <v>2339</v>
      </c>
      <c r="O124" s="48">
        <v>7382</v>
      </c>
      <c r="P124" s="48">
        <v>9438</v>
      </c>
      <c r="Q124" s="48">
        <v>6565</v>
      </c>
      <c r="R124" s="48">
        <v>3398</v>
      </c>
      <c r="S124" s="48">
        <v>5960</v>
      </c>
      <c r="T124" s="48">
        <v>7809</v>
      </c>
      <c r="U124" s="48">
        <v>3936</v>
      </c>
      <c r="V124" s="48">
        <v>4891</v>
      </c>
      <c r="W124" s="48">
        <v>6465</v>
      </c>
      <c r="X124" s="48">
        <v>9756</v>
      </c>
      <c r="Y124" s="48">
        <v>4533</v>
      </c>
      <c r="Z124" s="48">
        <v>2110</v>
      </c>
      <c r="AA124" s="48">
        <v>11877</v>
      </c>
      <c r="AB124" s="48">
        <v>1520</v>
      </c>
      <c r="AC124" s="48">
        <v>8979</v>
      </c>
      <c r="AD124" s="48">
        <v>2412</v>
      </c>
      <c r="AE124" s="48">
        <v>5665</v>
      </c>
      <c r="AF124" s="48">
        <v>3550</v>
      </c>
      <c r="AG124" s="48">
        <v>7147</v>
      </c>
      <c r="AH124" s="48">
        <v>12861</v>
      </c>
      <c r="AI124" s="48">
        <v>5112</v>
      </c>
      <c r="AJ124" s="48">
        <v>5295</v>
      </c>
      <c r="AK124" s="48">
        <v>6200</v>
      </c>
      <c r="AL124" s="48">
        <v>4884</v>
      </c>
      <c r="AM124" s="48">
        <v>6264</v>
      </c>
      <c r="AN124" s="48">
        <v>1556</v>
      </c>
      <c r="AO124" s="48">
        <v>8561</v>
      </c>
      <c r="AP124" s="48">
        <v>4889</v>
      </c>
      <c r="AQ124" s="48">
        <v>5705</v>
      </c>
      <c r="AR124" s="48">
        <v>2949</v>
      </c>
      <c r="AS124" s="48">
        <v>1823</v>
      </c>
      <c r="AT124" s="48">
        <v>1717</v>
      </c>
      <c r="AU124" s="48">
        <v>3876</v>
      </c>
      <c r="AV124" s="48">
        <v>2982</v>
      </c>
      <c r="AW124" s="48">
        <v>4924</v>
      </c>
      <c r="AX124" s="48">
        <v>5218</v>
      </c>
      <c r="AY124" s="48">
        <v>6489</v>
      </c>
      <c r="AZ124" s="48">
        <v>3766</v>
      </c>
      <c r="BA124" s="48">
        <v>27277</v>
      </c>
      <c r="BB124" s="48">
        <v>9584</v>
      </c>
      <c r="BC124" s="48">
        <v>2606</v>
      </c>
      <c r="BD124" s="48">
        <v>3545</v>
      </c>
      <c r="BE124" s="48">
        <v>5001</v>
      </c>
      <c r="BF124" s="48">
        <v>8761</v>
      </c>
      <c r="BG124" s="48">
        <v>1896</v>
      </c>
      <c r="BH124" s="48">
        <v>1251</v>
      </c>
      <c r="BI124" s="48">
        <v>4044</v>
      </c>
      <c r="BJ124" s="48">
        <v>902</v>
      </c>
      <c r="BK124" s="48">
        <v>4987</v>
      </c>
      <c r="BL124" s="48">
        <v>1606</v>
      </c>
      <c r="BM124" s="48">
        <v>2847</v>
      </c>
      <c r="BN124" s="48">
        <v>9100</v>
      </c>
      <c r="BO124" s="48">
        <v>3834</v>
      </c>
      <c r="BP124" s="48">
        <v>6403</v>
      </c>
      <c r="BQ124" s="48">
        <v>13129</v>
      </c>
      <c r="BR124" s="48">
        <v>10425</v>
      </c>
      <c r="BS124" s="48">
        <v>4121</v>
      </c>
      <c r="BT124" s="48">
        <v>24159</v>
      </c>
      <c r="BU124" s="48">
        <v>4792</v>
      </c>
      <c r="BV124" s="48">
        <v>4542</v>
      </c>
      <c r="BW124" s="48">
        <v>1505</v>
      </c>
      <c r="BX124" s="48">
        <v>3136</v>
      </c>
      <c r="BY124" s="48">
        <v>18108</v>
      </c>
      <c r="BZ124" s="48">
        <v>1999</v>
      </c>
      <c r="CA124" s="48">
        <v>3533</v>
      </c>
      <c r="CB124" s="48">
        <v>8327</v>
      </c>
      <c r="CD124" s="3" t="s">
        <v>118</v>
      </c>
    </row>
    <row r="125" spans="1:82" x14ac:dyDescent="0.2">
      <c r="B125" s="33"/>
      <c r="C125" s="33"/>
    </row>
    <row r="126" spans="1:82" s="32" customFormat="1" x14ac:dyDescent="0.2">
      <c r="A126" s="21"/>
      <c r="B126" s="21" t="s">
        <v>112</v>
      </c>
      <c r="C126" s="50">
        <f>C122/C124</f>
        <v>3510.973326259556</v>
      </c>
      <c r="D126" s="50">
        <f t="shared" ref="D126:BO126" si="78">D122/D124</f>
        <v>3853.7905934628911</v>
      </c>
      <c r="E126" s="50">
        <f t="shared" si="78"/>
        <v>2806.5795207222195</v>
      </c>
      <c r="F126" s="50">
        <f t="shared" si="78"/>
        <v>2758.745658089103</v>
      </c>
      <c r="G126" s="50">
        <f t="shared" si="78"/>
        <v>2531.2671817930077</v>
      </c>
      <c r="H126" s="50">
        <f t="shared" si="78"/>
        <v>5950.2842755858546</v>
      </c>
      <c r="I126" s="50">
        <f t="shared" si="78"/>
        <v>3522.073606998089</v>
      </c>
      <c r="J126" s="50">
        <f t="shared" si="78"/>
        <v>3445.9701214251086</v>
      </c>
      <c r="K126" s="50">
        <f t="shared" si="78"/>
        <v>3486.9101654121587</v>
      </c>
      <c r="L126" s="50">
        <f t="shared" si="78"/>
        <v>4185.7069073475395</v>
      </c>
      <c r="M126" s="50">
        <f t="shared" si="78"/>
        <v>3122.275997969356</v>
      </c>
      <c r="N126" s="50">
        <f t="shared" si="78"/>
        <v>3000.9738591826572</v>
      </c>
      <c r="O126" s="50">
        <f t="shared" si="78"/>
        <v>3511.6288576933712</v>
      </c>
      <c r="P126" s="50">
        <f t="shared" si="78"/>
        <v>2787.0235237237889</v>
      </c>
      <c r="Q126" s="50">
        <f t="shared" si="78"/>
        <v>4568.2103260703525</v>
      </c>
      <c r="R126" s="50">
        <f t="shared" si="78"/>
        <v>2917.7478377807738</v>
      </c>
      <c r="S126" s="50">
        <f t="shared" si="78"/>
        <v>2614.4577827046724</v>
      </c>
      <c r="T126" s="50">
        <f t="shared" si="78"/>
        <v>4239.9547789713615</v>
      </c>
      <c r="U126" s="50">
        <f t="shared" si="78"/>
        <v>3988.154105775242</v>
      </c>
      <c r="V126" s="50">
        <f t="shared" si="78"/>
        <v>5758.5982693159594</v>
      </c>
      <c r="W126" s="50">
        <f t="shared" si="78"/>
        <v>3659.7669448296651</v>
      </c>
      <c r="X126" s="50">
        <f t="shared" si="78"/>
        <v>3944.7999783121754</v>
      </c>
      <c r="Y126" s="50">
        <f t="shared" si="78"/>
        <v>3172.6820347672679</v>
      </c>
      <c r="Z126" s="50">
        <f t="shared" si="78"/>
        <v>3031.5277720341551</v>
      </c>
      <c r="AA126" s="50">
        <f t="shared" si="78"/>
        <v>3294.3669843580005</v>
      </c>
      <c r="AB126" s="50">
        <f t="shared" si="78"/>
        <v>2739.6765552250918</v>
      </c>
      <c r="AC126" s="50">
        <f t="shared" si="78"/>
        <v>3331.2259713215954</v>
      </c>
      <c r="AD126" s="50">
        <f t="shared" si="78"/>
        <v>2947.1242706419703</v>
      </c>
      <c r="AE126" s="50">
        <f t="shared" si="78"/>
        <v>4216.2318113567453</v>
      </c>
      <c r="AF126" s="50">
        <f t="shared" si="78"/>
        <v>2737.0984271958623</v>
      </c>
      <c r="AG126" s="50">
        <f t="shared" si="78"/>
        <v>2879.0403453005702</v>
      </c>
      <c r="AH126" s="50">
        <f t="shared" si="78"/>
        <v>3800.202343790917</v>
      </c>
      <c r="AI126" s="50">
        <f t="shared" si="78"/>
        <v>3163.2421541678927</v>
      </c>
      <c r="AJ126" s="50">
        <f t="shared" si="78"/>
        <v>2748.002477790737</v>
      </c>
      <c r="AK126" s="50">
        <f t="shared" si="78"/>
        <v>3014.4725840553315</v>
      </c>
      <c r="AL126" s="50">
        <f t="shared" si="78"/>
        <v>2767.089339674254</v>
      </c>
      <c r="AM126" s="50">
        <f t="shared" si="78"/>
        <v>3724.4335122042417</v>
      </c>
      <c r="AN126" s="50">
        <f t="shared" si="78"/>
        <v>2410.9864991953341</v>
      </c>
      <c r="AO126" s="50">
        <f t="shared" si="78"/>
        <v>2724.5832443462691</v>
      </c>
      <c r="AP126" s="50">
        <f t="shared" si="78"/>
        <v>2751.4282062796856</v>
      </c>
      <c r="AQ126" s="50">
        <f t="shared" si="78"/>
        <v>2946.4027599930514</v>
      </c>
      <c r="AR126" s="50">
        <f t="shared" si="78"/>
        <v>3145.6420319020799</v>
      </c>
      <c r="AS126" s="50">
        <f t="shared" si="78"/>
        <v>3919.500488706924</v>
      </c>
      <c r="AT126" s="50">
        <f t="shared" si="78"/>
        <v>3945.5799168566114</v>
      </c>
      <c r="AU126" s="50">
        <f t="shared" si="78"/>
        <v>2663.2220624426482</v>
      </c>
      <c r="AV126" s="50">
        <f t="shared" si="78"/>
        <v>2725.7391317049965</v>
      </c>
      <c r="AW126" s="50">
        <f t="shared" si="78"/>
        <v>2679.6890856316759</v>
      </c>
      <c r="AX126" s="50">
        <f t="shared" si="78"/>
        <v>3502.2508075425817</v>
      </c>
      <c r="AY126" s="50">
        <f t="shared" si="78"/>
        <v>3080.5026741179536</v>
      </c>
      <c r="AZ126" s="50">
        <f t="shared" si="78"/>
        <v>3676.413387268618</v>
      </c>
      <c r="BA126" s="50">
        <f t="shared" si="78"/>
        <v>6191.3693334398604</v>
      </c>
      <c r="BB126" s="50">
        <f t="shared" si="78"/>
        <v>3086.6361004689306</v>
      </c>
      <c r="BC126" s="50">
        <f t="shared" si="78"/>
        <v>3290.9902144935409</v>
      </c>
      <c r="BD126" s="50">
        <f t="shared" si="78"/>
        <v>2433.818087489401</v>
      </c>
      <c r="BE126" s="50">
        <f t="shared" si="78"/>
        <v>2636.628688889452</v>
      </c>
      <c r="BF126" s="50">
        <f t="shared" si="78"/>
        <v>2533.8504556948155</v>
      </c>
      <c r="BG126" s="50">
        <f t="shared" si="78"/>
        <v>2735.407195322618</v>
      </c>
      <c r="BH126" s="50">
        <f t="shared" si="78"/>
        <v>2370.3132011832799</v>
      </c>
      <c r="BI126" s="50">
        <f t="shared" si="78"/>
        <v>2017.9260087226319</v>
      </c>
      <c r="BJ126" s="50">
        <f t="shared" si="78"/>
        <v>2126.3373822971239</v>
      </c>
      <c r="BK126" s="50">
        <f t="shared" si="78"/>
        <v>2655.2212754154184</v>
      </c>
      <c r="BL126" s="50">
        <f t="shared" si="78"/>
        <v>2320.4728216438675</v>
      </c>
      <c r="BM126" s="50">
        <f t="shared" si="78"/>
        <v>2060.8347959535804</v>
      </c>
      <c r="BN126" s="50">
        <f t="shared" si="78"/>
        <v>2808.9369047255086</v>
      </c>
      <c r="BO126" s="50">
        <f t="shared" si="78"/>
        <v>3062.9504281657637</v>
      </c>
      <c r="BP126" s="50">
        <f t="shared" ref="BP126:CB126" si="79">BP122/BP124</f>
        <v>2931.2602046245952</v>
      </c>
      <c r="BQ126" s="50">
        <f t="shared" si="79"/>
        <v>2928.8719690528696</v>
      </c>
      <c r="BR126" s="50">
        <f t="shared" si="79"/>
        <v>2844.3689668688048</v>
      </c>
      <c r="BS126" s="50">
        <f t="shared" si="79"/>
        <v>2501.5143229438763</v>
      </c>
      <c r="BT126" s="50">
        <f t="shared" si="79"/>
        <v>3796.5322068804321</v>
      </c>
      <c r="BU126" s="50">
        <f t="shared" si="79"/>
        <v>4283.2461287981905</v>
      </c>
      <c r="BV126" s="50">
        <f t="shared" si="79"/>
        <v>3690.7502764718342</v>
      </c>
      <c r="BW126" s="50">
        <f t="shared" si="79"/>
        <v>2671.8295329896137</v>
      </c>
      <c r="BX126" s="50">
        <f t="shared" si="79"/>
        <v>2961.9816292321602</v>
      </c>
      <c r="BY126" s="50">
        <f t="shared" si="79"/>
        <v>3252.2703491428574</v>
      </c>
      <c r="BZ126" s="50">
        <f t="shared" si="79"/>
        <v>3371.5320956162609</v>
      </c>
      <c r="CA126" s="50">
        <f t="shared" si="79"/>
        <v>2875.4342943543766</v>
      </c>
      <c r="CB126" s="50">
        <f t="shared" si="79"/>
        <v>3914.4606555554119</v>
      </c>
      <c r="CC126" s="21"/>
      <c r="CD126" s="21"/>
    </row>
    <row r="127" spans="1:82" x14ac:dyDescent="0.2">
      <c r="B127" s="30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</row>
    <row r="128" spans="1:82" x14ac:dyDescent="0.2">
      <c r="A128" s="35" t="s">
        <v>175</v>
      </c>
      <c r="B128" s="27" t="s">
        <v>106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35"/>
      <c r="CD128" s="35"/>
    </row>
    <row r="129" spans="1:82" x14ac:dyDescent="0.2">
      <c r="B129" s="30" t="s">
        <v>4</v>
      </c>
      <c r="C129" s="5">
        <f t="shared" ref="C129:AH129" si="80">C72</f>
        <v>1312269021.8735743</v>
      </c>
      <c r="D129" s="5">
        <f t="shared" si="80"/>
        <v>204757575.24422756</v>
      </c>
      <c r="E129" s="5">
        <f t="shared" si="80"/>
        <v>21958934.613936946</v>
      </c>
      <c r="F129" s="5">
        <f t="shared" si="80"/>
        <v>3139373.6965936096</v>
      </c>
      <c r="G129" s="5">
        <f t="shared" si="80"/>
        <v>2713128.4675167087</v>
      </c>
      <c r="H129" s="5">
        <f t="shared" si="80"/>
        <v>17519704.958590765</v>
      </c>
      <c r="I129" s="5">
        <f t="shared" si="80"/>
        <v>24892644.795187052</v>
      </c>
      <c r="J129" s="5">
        <f t="shared" si="80"/>
        <v>8969718.9211344626</v>
      </c>
      <c r="K129" s="5">
        <f t="shared" si="80"/>
        <v>2506431.5949109076</v>
      </c>
      <c r="L129" s="5">
        <f t="shared" si="80"/>
        <v>5327222.7898881035</v>
      </c>
      <c r="M129" s="5">
        <f t="shared" si="80"/>
        <v>3042135.782210947</v>
      </c>
      <c r="N129" s="5">
        <f t="shared" si="80"/>
        <v>6152155.6582665872</v>
      </c>
      <c r="O129" s="5">
        <f t="shared" si="80"/>
        <v>20683712.771822151</v>
      </c>
      <c r="P129" s="5">
        <f t="shared" si="80"/>
        <v>17300376.098824542</v>
      </c>
      <c r="Q129" s="5">
        <f t="shared" si="80"/>
        <v>17458063.581026636</v>
      </c>
      <c r="R129" s="5">
        <f t="shared" si="80"/>
        <v>8277587.9502118267</v>
      </c>
      <c r="S129" s="5">
        <f t="shared" si="80"/>
        <v>10839713.06165424</v>
      </c>
      <c r="T129" s="5">
        <f t="shared" si="80"/>
        <v>19718612.661237862</v>
      </c>
      <c r="U129" s="5">
        <f t="shared" si="80"/>
        <v>12195068.638735954</v>
      </c>
      <c r="V129" s="5">
        <f t="shared" si="80"/>
        <v>14657223.437103985</v>
      </c>
      <c r="W129" s="5">
        <f t="shared" si="80"/>
        <v>16256088.200814208</v>
      </c>
      <c r="X129" s="5">
        <f t="shared" si="80"/>
        <v>24291860.445440952</v>
      </c>
      <c r="Y129" s="5">
        <f t="shared" si="80"/>
        <v>10061757.167051759</v>
      </c>
      <c r="Z129" s="5">
        <f t="shared" si="80"/>
        <v>4974616.8434095215</v>
      </c>
      <c r="AA129" s="5">
        <f t="shared" si="80"/>
        <v>26843018.67208996</v>
      </c>
      <c r="AB129" s="5">
        <f t="shared" si="80"/>
        <v>3513033.046479926</v>
      </c>
      <c r="AC129" s="5">
        <f t="shared" si="80"/>
        <v>20207981.175021935</v>
      </c>
      <c r="AD129" s="5">
        <f t="shared" si="80"/>
        <v>4740115.9703498688</v>
      </c>
      <c r="AE129" s="5">
        <f t="shared" si="80"/>
        <v>12745423.433449846</v>
      </c>
      <c r="AF129" s="5">
        <f t="shared" si="80"/>
        <v>7664787.1153214155</v>
      </c>
      <c r="AG129" s="5">
        <f t="shared" si="80"/>
        <v>15858411.756990656</v>
      </c>
      <c r="AH129" s="5">
        <f t="shared" si="80"/>
        <v>31227827.8075606</v>
      </c>
      <c r="AI129" s="5">
        <f t="shared" ref="AI129:BN129" si="81">AI72</f>
        <v>11232540.452711159</v>
      </c>
      <c r="AJ129" s="5">
        <f t="shared" si="81"/>
        <v>10619615.305384442</v>
      </c>
      <c r="AK129" s="5">
        <f t="shared" si="81"/>
        <v>14613659.011905506</v>
      </c>
      <c r="AL129" s="5">
        <f t="shared" si="81"/>
        <v>10489154.269803623</v>
      </c>
      <c r="AM129" s="5">
        <f t="shared" si="81"/>
        <v>17244628.456691172</v>
      </c>
      <c r="AN129" s="5">
        <f t="shared" si="81"/>
        <v>2844049.9831568771</v>
      </c>
      <c r="AO129" s="5">
        <f t="shared" si="81"/>
        <v>18350987.015544657</v>
      </c>
      <c r="AP129" s="5">
        <f t="shared" si="81"/>
        <v>10172677.974480033</v>
      </c>
      <c r="AQ129" s="5">
        <f t="shared" si="81"/>
        <v>13436852.043052273</v>
      </c>
      <c r="AR129" s="5">
        <f t="shared" si="81"/>
        <v>6933441.1542602396</v>
      </c>
      <c r="AS129" s="5">
        <f t="shared" si="81"/>
        <v>5615345.1755628875</v>
      </c>
      <c r="AT129" s="5">
        <f t="shared" si="81"/>
        <v>5212715.6046626559</v>
      </c>
      <c r="AU129" s="5">
        <f t="shared" si="81"/>
        <v>7932530.6097452696</v>
      </c>
      <c r="AV129" s="5">
        <f t="shared" si="81"/>
        <v>6515278.3686782476</v>
      </c>
      <c r="AW129" s="5">
        <f t="shared" si="81"/>
        <v>10855256.406955274</v>
      </c>
      <c r="AX129" s="5">
        <f t="shared" si="81"/>
        <v>14260872.855590457</v>
      </c>
      <c r="AY129" s="5">
        <f t="shared" si="81"/>
        <v>14775160.593507351</v>
      </c>
      <c r="AZ129" s="5">
        <f t="shared" si="81"/>
        <v>10765537.887119669</v>
      </c>
      <c r="BA129" s="5">
        <f t="shared" si="81"/>
        <v>124137264.87069868</v>
      </c>
      <c r="BB129" s="5">
        <f t="shared" si="81"/>
        <v>23089633.239375401</v>
      </c>
      <c r="BC129" s="5">
        <f t="shared" si="81"/>
        <v>6223159.9022468301</v>
      </c>
      <c r="BD129" s="5">
        <f t="shared" si="81"/>
        <v>7225303.4777367972</v>
      </c>
      <c r="BE129" s="5">
        <f t="shared" si="81"/>
        <v>9699016.0338683315</v>
      </c>
      <c r="BF129" s="5">
        <f t="shared" si="81"/>
        <v>17636321.932610258</v>
      </c>
      <c r="BG129" s="5">
        <f t="shared" si="81"/>
        <v>4034128.9703785852</v>
      </c>
      <c r="BH129" s="5">
        <f t="shared" si="81"/>
        <v>2414629.8639222868</v>
      </c>
      <c r="BI129" s="5">
        <f t="shared" si="81"/>
        <v>6686274.3570066206</v>
      </c>
      <c r="BJ129" s="5">
        <f t="shared" si="81"/>
        <v>1630898.0775205626</v>
      </c>
      <c r="BK129" s="5">
        <f t="shared" si="81"/>
        <v>9527638.2082816623</v>
      </c>
      <c r="BL129" s="5">
        <f t="shared" si="81"/>
        <v>3020689.3136614296</v>
      </c>
      <c r="BM129" s="5">
        <f t="shared" si="81"/>
        <v>5283507.6845240211</v>
      </c>
      <c r="BN129" s="5">
        <f t="shared" si="81"/>
        <v>19188148.092750274</v>
      </c>
      <c r="BO129" s="5">
        <f t="shared" ref="BO129:CB129" si="82">BO72</f>
        <v>8650514.7720150389</v>
      </c>
      <c r="BP129" s="5">
        <f t="shared" si="82"/>
        <v>15216257.554429628</v>
      </c>
      <c r="BQ129" s="5">
        <f t="shared" si="82"/>
        <v>28059923.912567336</v>
      </c>
      <c r="BR129" s="5">
        <f t="shared" si="82"/>
        <v>22440460.838628825</v>
      </c>
      <c r="BS129" s="5">
        <f t="shared" si="82"/>
        <v>7694968.4655872146</v>
      </c>
      <c r="BT129" s="5">
        <f t="shared" si="82"/>
        <v>67907711.517618671</v>
      </c>
      <c r="BU129" s="5">
        <f t="shared" si="82"/>
        <v>16992577.384958029</v>
      </c>
      <c r="BV129" s="5">
        <f t="shared" si="82"/>
        <v>12045907.211665118</v>
      </c>
      <c r="BW129" s="5">
        <f t="shared" si="82"/>
        <v>3433062.0293068551</v>
      </c>
      <c r="BX129" s="5">
        <f t="shared" si="82"/>
        <v>7743683.0449775457</v>
      </c>
      <c r="BY129" s="5">
        <f t="shared" si="82"/>
        <v>48765909.786588475</v>
      </c>
      <c r="BZ129" s="5">
        <f t="shared" si="82"/>
        <v>5604505.7754187519</v>
      </c>
      <c r="CA129" s="5">
        <f t="shared" si="82"/>
        <v>8522450.6284697689</v>
      </c>
      <c r="CB129" s="5">
        <f t="shared" si="82"/>
        <v>27029865.400888495</v>
      </c>
    </row>
    <row r="130" spans="1:82" x14ac:dyDescent="0.2">
      <c r="B130" s="30" t="s">
        <v>0</v>
      </c>
      <c r="C130" s="5">
        <f t="shared" ref="C130:AH130" si="83">C77</f>
        <v>68158379.50000003</v>
      </c>
      <c r="D130" s="5">
        <f t="shared" si="83"/>
        <v>14064118.600000001</v>
      </c>
      <c r="E130" s="5">
        <f t="shared" si="83"/>
        <v>577419.20000000007</v>
      </c>
      <c r="F130" s="5">
        <f t="shared" si="83"/>
        <v>59930.000000000007</v>
      </c>
      <c r="G130" s="5">
        <f t="shared" si="83"/>
        <v>55755</v>
      </c>
      <c r="H130" s="5">
        <f t="shared" si="83"/>
        <v>124043.40000000002</v>
      </c>
      <c r="I130" s="5">
        <f t="shared" si="83"/>
        <v>839140.64999999991</v>
      </c>
      <c r="J130" s="5">
        <f t="shared" si="83"/>
        <v>775715.45000000007</v>
      </c>
      <c r="K130" s="5">
        <f t="shared" si="83"/>
        <v>41037.799999999996</v>
      </c>
      <c r="L130" s="5">
        <f t="shared" si="83"/>
        <v>66036.599999999991</v>
      </c>
      <c r="M130" s="5">
        <f t="shared" si="83"/>
        <v>30073.499999999996</v>
      </c>
      <c r="N130" s="5">
        <f t="shared" si="83"/>
        <v>64383.250000000007</v>
      </c>
      <c r="O130" s="5">
        <f t="shared" si="83"/>
        <v>962281.99999999988</v>
      </c>
      <c r="P130" s="5">
        <f t="shared" si="83"/>
        <v>2326323.5499999998</v>
      </c>
      <c r="Q130" s="5">
        <f t="shared" si="83"/>
        <v>1982052.9</v>
      </c>
      <c r="R130" s="5">
        <f t="shared" si="83"/>
        <v>480936.8</v>
      </c>
      <c r="S130" s="5">
        <f t="shared" si="83"/>
        <v>1660153.3000000003</v>
      </c>
      <c r="T130" s="5">
        <f t="shared" si="83"/>
        <v>3324103.9</v>
      </c>
      <c r="U130" s="5">
        <f t="shared" si="83"/>
        <v>605217.44999999995</v>
      </c>
      <c r="V130" s="5">
        <f t="shared" si="83"/>
        <v>2603545.6000000001</v>
      </c>
      <c r="W130" s="5">
        <f t="shared" si="83"/>
        <v>2032011.1000000003</v>
      </c>
      <c r="X130" s="5">
        <f t="shared" si="83"/>
        <v>2714467.9499999997</v>
      </c>
      <c r="Y130" s="5">
        <f t="shared" si="83"/>
        <v>579164.25</v>
      </c>
      <c r="Z130" s="5">
        <f t="shared" si="83"/>
        <v>210221.45</v>
      </c>
      <c r="AA130" s="5">
        <f t="shared" si="83"/>
        <v>2816170.62</v>
      </c>
      <c r="AB130" s="5">
        <f t="shared" si="83"/>
        <v>105276.45</v>
      </c>
      <c r="AC130" s="5">
        <f t="shared" si="83"/>
        <v>1711722.4</v>
      </c>
      <c r="AD130" s="5">
        <f t="shared" si="83"/>
        <v>507946.14999999991</v>
      </c>
      <c r="AE130" s="5">
        <f t="shared" si="83"/>
        <v>2898955.34</v>
      </c>
      <c r="AF130" s="5">
        <f t="shared" si="83"/>
        <v>372042.95000000007</v>
      </c>
      <c r="AG130" s="5">
        <f t="shared" si="83"/>
        <v>1225638.1499999999</v>
      </c>
      <c r="AH130" s="5">
        <f t="shared" si="83"/>
        <v>2878225.42</v>
      </c>
      <c r="AI130" s="5">
        <f t="shared" ref="AI130:BN130" si="84">AI77</f>
        <v>1124206.7000000002</v>
      </c>
      <c r="AJ130" s="5">
        <f t="shared" si="84"/>
        <v>652669.50000000012</v>
      </c>
      <c r="AK130" s="5">
        <f t="shared" si="84"/>
        <v>566916.44999999984</v>
      </c>
      <c r="AL130" s="5">
        <f t="shared" si="84"/>
        <v>284369.75000000006</v>
      </c>
      <c r="AM130" s="5">
        <f t="shared" si="84"/>
        <v>920294.35</v>
      </c>
      <c r="AN130" s="5">
        <f t="shared" si="84"/>
        <v>290129.60000000003</v>
      </c>
      <c r="AO130" s="5">
        <f t="shared" si="84"/>
        <v>374607.25000000006</v>
      </c>
      <c r="AP130" s="5">
        <f t="shared" si="84"/>
        <v>377942.85</v>
      </c>
      <c r="AQ130" s="5">
        <f t="shared" si="84"/>
        <v>510972.15</v>
      </c>
      <c r="AR130" s="5">
        <f t="shared" si="84"/>
        <v>206442.15000000002</v>
      </c>
      <c r="AS130" s="5">
        <f t="shared" si="84"/>
        <v>56230.950000000012</v>
      </c>
      <c r="AT130" s="5">
        <f t="shared" si="84"/>
        <v>44935.549999999988</v>
      </c>
      <c r="AU130" s="5">
        <f t="shared" si="84"/>
        <v>237830.69999999998</v>
      </c>
      <c r="AV130" s="5">
        <f t="shared" si="84"/>
        <v>172233.35</v>
      </c>
      <c r="AW130" s="5">
        <f t="shared" si="84"/>
        <v>224660.65</v>
      </c>
      <c r="AX130" s="5">
        <f t="shared" si="84"/>
        <v>283108.75000000006</v>
      </c>
      <c r="AY130" s="5">
        <f t="shared" si="84"/>
        <v>465400.5</v>
      </c>
      <c r="AZ130" s="5">
        <f t="shared" si="84"/>
        <v>239538.94999999995</v>
      </c>
      <c r="BA130" s="5">
        <f t="shared" si="84"/>
        <v>2083124.3000000003</v>
      </c>
      <c r="BB130" s="5">
        <f t="shared" si="84"/>
        <v>536147.45000000007</v>
      </c>
      <c r="BC130" s="5">
        <f t="shared" si="84"/>
        <v>297129.45</v>
      </c>
      <c r="BD130" s="5">
        <f t="shared" si="84"/>
        <v>89437.1</v>
      </c>
      <c r="BE130" s="5">
        <f t="shared" si="84"/>
        <v>190250.94999999995</v>
      </c>
      <c r="BF130" s="5">
        <f t="shared" si="84"/>
        <v>506143.4</v>
      </c>
      <c r="BG130" s="5">
        <f t="shared" si="84"/>
        <v>80275.649999999994</v>
      </c>
      <c r="BH130" s="5">
        <f t="shared" si="84"/>
        <v>38670.199999999997</v>
      </c>
      <c r="BI130" s="5">
        <f t="shared" si="84"/>
        <v>166631.09999999998</v>
      </c>
      <c r="BJ130" s="5">
        <f t="shared" si="84"/>
        <v>36645.199999999997</v>
      </c>
      <c r="BK130" s="5">
        <f t="shared" si="84"/>
        <v>317981.34999999998</v>
      </c>
      <c r="BL130" s="5">
        <f t="shared" si="84"/>
        <v>108684.3</v>
      </c>
      <c r="BM130" s="5">
        <f t="shared" si="84"/>
        <v>68418.7</v>
      </c>
      <c r="BN130" s="5">
        <f t="shared" si="84"/>
        <v>872137.75</v>
      </c>
      <c r="BO130" s="5">
        <f t="shared" ref="BO130:CB130" si="85">BO77</f>
        <v>318262.75000000012</v>
      </c>
      <c r="BP130" s="5">
        <f t="shared" si="85"/>
        <v>453771.35000000003</v>
      </c>
      <c r="BQ130" s="5">
        <f t="shared" si="85"/>
        <v>1235206.8499999999</v>
      </c>
      <c r="BR130" s="5">
        <f t="shared" si="85"/>
        <v>774910.85</v>
      </c>
      <c r="BS130" s="5">
        <f t="shared" si="85"/>
        <v>272434.90000000008</v>
      </c>
      <c r="BT130" s="5">
        <f t="shared" si="85"/>
        <v>1757226</v>
      </c>
      <c r="BU130" s="5">
        <f t="shared" si="85"/>
        <v>207965.31999999995</v>
      </c>
      <c r="BV130" s="5">
        <f t="shared" si="85"/>
        <v>290767.39999999997</v>
      </c>
      <c r="BW130" s="5">
        <f t="shared" si="85"/>
        <v>102854.50000000001</v>
      </c>
      <c r="BX130" s="5">
        <f t="shared" si="85"/>
        <v>65509.250000000007</v>
      </c>
      <c r="BY130" s="5">
        <f t="shared" si="85"/>
        <v>1132666.6000000001</v>
      </c>
      <c r="BZ130" s="5">
        <f t="shared" si="85"/>
        <v>46019.55</v>
      </c>
      <c r="CA130" s="5">
        <f t="shared" si="85"/>
        <v>148909.94999999998</v>
      </c>
      <c r="CB130" s="5">
        <f t="shared" si="85"/>
        <v>233596</v>
      </c>
    </row>
    <row r="131" spans="1:82" x14ac:dyDescent="0.2">
      <c r="B131" s="30" t="s">
        <v>1</v>
      </c>
      <c r="C131" s="5">
        <f t="shared" ref="C131:AH131" si="86">C83</f>
        <v>190430902.40000004</v>
      </c>
      <c r="D131" s="5">
        <f t="shared" si="86"/>
        <v>44921247.199999996</v>
      </c>
      <c r="E131" s="5">
        <f t="shared" si="86"/>
        <v>2520296.1999999997</v>
      </c>
      <c r="F131" s="5">
        <f t="shared" si="86"/>
        <v>27394.399999999998</v>
      </c>
      <c r="G131" s="5">
        <f t="shared" si="86"/>
        <v>138995.6</v>
      </c>
      <c r="H131" s="5">
        <f t="shared" si="86"/>
        <v>1097498.3999999999</v>
      </c>
      <c r="I131" s="5">
        <f t="shared" si="86"/>
        <v>2501401.35</v>
      </c>
      <c r="J131" s="5">
        <f t="shared" si="86"/>
        <v>967368.20000000007</v>
      </c>
      <c r="K131" s="5">
        <f t="shared" si="86"/>
        <v>32789.75</v>
      </c>
      <c r="L131" s="5">
        <f t="shared" si="86"/>
        <v>708564.95000000007</v>
      </c>
      <c r="M131" s="5">
        <f t="shared" si="86"/>
        <v>54622.45</v>
      </c>
      <c r="N131" s="5">
        <f t="shared" si="86"/>
        <v>149112.69999999998</v>
      </c>
      <c r="O131" s="5">
        <f t="shared" si="86"/>
        <v>772696.05</v>
      </c>
      <c r="P131" s="5">
        <f t="shared" si="86"/>
        <v>4324265.5999999996</v>
      </c>
      <c r="Q131" s="5">
        <f t="shared" si="86"/>
        <v>4516928.3</v>
      </c>
      <c r="R131" s="5">
        <f t="shared" si="86"/>
        <v>971943.75</v>
      </c>
      <c r="S131" s="5">
        <f t="shared" si="86"/>
        <v>1592278.7</v>
      </c>
      <c r="T131" s="5">
        <f t="shared" si="86"/>
        <v>4600384.9000000004</v>
      </c>
      <c r="U131" s="5">
        <f t="shared" si="86"/>
        <v>1175662.8500000001</v>
      </c>
      <c r="V131" s="5">
        <f t="shared" si="86"/>
        <v>5157367.95</v>
      </c>
      <c r="W131" s="5">
        <f t="shared" si="86"/>
        <v>1952936.2000000002</v>
      </c>
      <c r="X131" s="5">
        <f t="shared" si="86"/>
        <v>6647819.2000000002</v>
      </c>
      <c r="Y131" s="5">
        <f t="shared" si="86"/>
        <v>1738690.8</v>
      </c>
      <c r="Z131" s="5">
        <f t="shared" si="86"/>
        <v>282374.44999999995</v>
      </c>
      <c r="AA131" s="5">
        <f t="shared" si="86"/>
        <v>5686075.1499999994</v>
      </c>
      <c r="AB131" s="5">
        <f t="shared" si="86"/>
        <v>71814.899999999994</v>
      </c>
      <c r="AC131" s="5">
        <f t="shared" si="86"/>
        <v>3197120.25</v>
      </c>
      <c r="AD131" s="5">
        <f t="shared" si="86"/>
        <v>759508.2</v>
      </c>
      <c r="AE131" s="5">
        <f t="shared" si="86"/>
        <v>5821396.7499999991</v>
      </c>
      <c r="AF131" s="5">
        <f t="shared" si="86"/>
        <v>479389.55</v>
      </c>
      <c r="AG131" s="5">
        <f t="shared" si="86"/>
        <v>855801.75</v>
      </c>
      <c r="AH131" s="5">
        <f t="shared" si="86"/>
        <v>7816796.7999999998</v>
      </c>
      <c r="AI131" s="5">
        <f t="shared" ref="AI131:BN131" si="87">AI83</f>
        <v>1187303.55</v>
      </c>
      <c r="AJ131" s="5">
        <f t="shared" si="87"/>
        <v>624606.89999999991</v>
      </c>
      <c r="AK131" s="5">
        <f t="shared" si="87"/>
        <v>1436956.15</v>
      </c>
      <c r="AL131" s="5">
        <f t="shared" si="87"/>
        <v>754700</v>
      </c>
      <c r="AM131" s="5">
        <f t="shared" si="87"/>
        <v>1635187.3499999999</v>
      </c>
      <c r="AN131" s="5">
        <f t="shared" si="87"/>
        <v>113512.4</v>
      </c>
      <c r="AO131" s="5">
        <f t="shared" si="87"/>
        <v>1554344.65</v>
      </c>
      <c r="AP131" s="5">
        <f t="shared" si="87"/>
        <v>1961247.85</v>
      </c>
      <c r="AQ131" s="5">
        <f t="shared" si="87"/>
        <v>789647.9</v>
      </c>
      <c r="AR131" s="5">
        <f t="shared" si="87"/>
        <v>277234.05</v>
      </c>
      <c r="AS131" s="5">
        <f t="shared" si="87"/>
        <v>91126.349999999991</v>
      </c>
      <c r="AT131" s="5">
        <f t="shared" si="87"/>
        <v>232674.95</v>
      </c>
      <c r="AU131" s="5">
        <f t="shared" si="87"/>
        <v>648383</v>
      </c>
      <c r="AV131" s="5">
        <f t="shared" si="87"/>
        <v>753177.85</v>
      </c>
      <c r="AW131" s="5">
        <f t="shared" si="87"/>
        <v>537851.70000000007</v>
      </c>
      <c r="AX131" s="5">
        <f t="shared" si="87"/>
        <v>715282.55</v>
      </c>
      <c r="AY131" s="5">
        <f t="shared" si="87"/>
        <v>1820797.55</v>
      </c>
      <c r="AZ131" s="5">
        <f t="shared" si="87"/>
        <v>843135.25</v>
      </c>
      <c r="BA131" s="5">
        <f t="shared" si="87"/>
        <v>20710290.550000001</v>
      </c>
      <c r="BB131" s="5">
        <f t="shared" si="87"/>
        <v>1978735.9</v>
      </c>
      <c r="BC131" s="5">
        <f t="shared" si="87"/>
        <v>291137.34999999998</v>
      </c>
      <c r="BD131" s="5">
        <f t="shared" si="87"/>
        <v>453457.55</v>
      </c>
      <c r="BE131" s="5">
        <f t="shared" si="87"/>
        <v>1263126.25</v>
      </c>
      <c r="BF131" s="5">
        <f t="shared" si="87"/>
        <v>1863677.5</v>
      </c>
      <c r="BG131" s="5">
        <f t="shared" si="87"/>
        <v>257820.15</v>
      </c>
      <c r="BH131" s="5">
        <f t="shared" si="87"/>
        <v>134478.25</v>
      </c>
      <c r="BI131" s="5">
        <f t="shared" si="87"/>
        <v>427375.35</v>
      </c>
      <c r="BJ131" s="5">
        <f t="shared" si="87"/>
        <v>40177.5</v>
      </c>
      <c r="BK131" s="5">
        <f t="shared" si="87"/>
        <v>1168436.95</v>
      </c>
      <c r="BL131" s="5">
        <f t="shared" si="87"/>
        <v>205379.94999999998</v>
      </c>
      <c r="BM131" s="5">
        <f t="shared" si="87"/>
        <v>240189.40000000002</v>
      </c>
      <c r="BN131" s="5">
        <f t="shared" si="87"/>
        <v>2356354.3499999996</v>
      </c>
      <c r="BO131" s="5">
        <f t="shared" ref="BO131:CB131" si="88">BO83</f>
        <v>871444.8</v>
      </c>
      <c r="BP131" s="5">
        <f t="shared" si="88"/>
        <v>780195.85</v>
      </c>
      <c r="BQ131" s="5">
        <f t="shared" si="88"/>
        <v>3092395.45</v>
      </c>
      <c r="BR131" s="5">
        <f t="shared" si="88"/>
        <v>2602334.5499999998</v>
      </c>
      <c r="BS131" s="5">
        <f t="shared" si="88"/>
        <v>1301178.5</v>
      </c>
      <c r="BT131" s="5">
        <f t="shared" si="88"/>
        <v>11341815.75</v>
      </c>
      <c r="BU131" s="5">
        <f t="shared" si="88"/>
        <v>1047295.35</v>
      </c>
      <c r="BV131" s="5">
        <f t="shared" si="88"/>
        <v>1926640.35</v>
      </c>
      <c r="BW131" s="5">
        <f t="shared" si="88"/>
        <v>102337.60000000001</v>
      </c>
      <c r="BX131" s="5">
        <f t="shared" si="88"/>
        <v>353448.25</v>
      </c>
      <c r="BY131" s="5">
        <f t="shared" si="88"/>
        <v>5886367.9000000004</v>
      </c>
      <c r="BZ131" s="5">
        <f t="shared" si="88"/>
        <v>527975.04999999993</v>
      </c>
      <c r="CA131" s="5">
        <f t="shared" si="88"/>
        <v>403644.4</v>
      </c>
      <c r="CB131" s="5">
        <f t="shared" si="88"/>
        <v>1285478.3</v>
      </c>
    </row>
    <row r="132" spans="1:82" x14ac:dyDescent="0.2">
      <c r="B132" s="30" t="s">
        <v>87</v>
      </c>
      <c r="C132" s="5">
        <f t="shared" ref="C132:AH132" si="89">C94</f>
        <v>87233001.819999993</v>
      </c>
      <c r="D132" s="5">
        <f t="shared" si="89"/>
        <v>13506890.959066991</v>
      </c>
      <c r="E132" s="5">
        <f t="shared" si="89"/>
        <v>1393385.289437688</v>
      </c>
      <c r="F132" s="5">
        <f t="shared" si="89"/>
        <v>212411.75600647923</v>
      </c>
      <c r="G132" s="5">
        <f t="shared" si="89"/>
        <v>173676.15166318658</v>
      </c>
      <c r="H132" s="5">
        <f t="shared" si="89"/>
        <v>776848.93521927716</v>
      </c>
      <c r="I132" s="5">
        <f t="shared" si="89"/>
        <v>1551125.1127207556</v>
      </c>
      <c r="J132" s="5">
        <f t="shared" si="89"/>
        <v>664356.78686482436</v>
      </c>
      <c r="K132" s="5">
        <f t="shared" si="89"/>
        <v>142496.8054512713</v>
      </c>
      <c r="L132" s="5">
        <f t="shared" si="89"/>
        <v>315774.24849906343</v>
      </c>
      <c r="M132" s="5">
        <f t="shared" si="89"/>
        <v>174838.94120510906</v>
      </c>
      <c r="N132" s="5">
        <f t="shared" si="89"/>
        <v>332455.96264295373</v>
      </c>
      <c r="O132" s="5">
        <f t="shared" si="89"/>
        <v>1205361.3149163059</v>
      </c>
      <c r="P132" s="5">
        <f t="shared" si="89"/>
        <v>1401941.9575187122</v>
      </c>
      <c r="Q132" s="5">
        <f t="shared" si="89"/>
        <v>1308917.4817119902</v>
      </c>
      <c r="R132" s="5">
        <f t="shared" si="89"/>
        <v>537932.45491028542</v>
      </c>
      <c r="S132" s="5">
        <f t="shared" si="89"/>
        <v>980958.07028232026</v>
      </c>
      <c r="T132" s="5">
        <f t="shared" si="89"/>
        <v>1356367.8609651756</v>
      </c>
      <c r="U132" s="5">
        <f t="shared" si="89"/>
        <v>713317.85776437132</v>
      </c>
      <c r="V132" s="5">
        <f t="shared" si="89"/>
        <v>972519.89336780575</v>
      </c>
      <c r="W132" s="5">
        <f t="shared" si="89"/>
        <v>1171919.8394279992</v>
      </c>
      <c r="X132" s="5">
        <f t="shared" si="89"/>
        <v>1918957.1939583372</v>
      </c>
      <c r="Y132" s="5">
        <f t="shared" si="89"/>
        <v>644494.00765583408</v>
      </c>
      <c r="Z132" s="5">
        <f t="shared" si="89"/>
        <v>332373.01561817917</v>
      </c>
      <c r="AA132" s="5">
        <f t="shared" si="89"/>
        <v>1951803.6382898062</v>
      </c>
      <c r="AB132" s="5">
        <f t="shared" si="89"/>
        <v>229677.07421708561</v>
      </c>
      <c r="AC132" s="5">
        <f t="shared" si="89"/>
        <v>1473554.7700900042</v>
      </c>
      <c r="AD132" s="5">
        <f t="shared" si="89"/>
        <v>412208.17076241079</v>
      </c>
      <c r="AE132" s="5">
        <f t="shared" si="89"/>
        <v>1100105.3203417144</v>
      </c>
      <c r="AF132" s="5">
        <f t="shared" si="89"/>
        <v>517952.15283338743</v>
      </c>
      <c r="AG132" s="5">
        <f t="shared" si="89"/>
        <v>1031981.4713748485</v>
      </c>
      <c r="AH132" s="5">
        <f t="shared" si="89"/>
        <v>2164052.5276381467</v>
      </c>
      <c r="AI132" s="5">
        <f t="shared" ref="AI132:BN132" si="90">AI94</f>
        <v>816707.78052305977</v>
      </c>
      <c r="AJ132" s="5">
        <f t="shared" si="90"/>
        <v>807033.03379637911</v>
      </c>
      <c r="AK132" s="5">
        <f t="shared" si="90"/>
        <v>990192.13906567043</v>
      </c>
      <c r="AL132" s="5">
        <f t="shared" si="90"/>
        <v>845855.78501380212</v>
      </c>
      <c r="AM132" s="5">
        <f t="shared" si="90"/>
        <v>1310504.67478099</v>
      </c>
      <c r="AN132" s="5">
        <f t="shared" si="90"/>
        <v>356325.10648105544</v>
      </c>
      <c r="AO132" s="5">
        <f t="shared" si="90"/>
        <v>1489423.7696351397</v>
      </c>
      <c r="AP132" s="5">
        <f t="shared" si="90"/>
        <v>943117.9525688336</v>
      </c>
      <c r="AQ132" s="5">
        <f t="shared" si="90"/>
        <v>956574.69863904675</v>
      </c>
      <c r="AR132" s="5">
        <f t="shared" si="90"/>
        <v>734479.5862147077</v>
      </c>
      <c r="AS132" s="5">
        <f t="shared" si="90"/>
        <v>430027.30035836634</v>
      </c>
      <c r="AT132" s="5">
        <f t="shared" si="90"/>
        <v>337662.46339107049</v>
      </c>
      <c r="AU132" s="5">
        <f t="shared" si="90"/>
        <v>582858.68095227773</v>
      </c>
      <c r="AV132" s="5">
        <f t="shared" si="90"/>
        <v>466163.54793794081</v>
      </c>
      <c r="AW132" s="5">
        <f t="shared" si="90"/>
        <v>674460.93902250263</v>
      </c>
      <c r="AX132" s="5">
        <f t="shared" si="90"/>
        <v>989275.39069850137</v>
      </c>
      <c r="AY132" s="5">
        <f t="shared" si="90"/>
        <v>1080291.6385383168</v>
      </c>
      <c r="AZ132" s="5">
        <f t="shared" si="90"/>
        <v>681201.2160056266</v>
      </c>
      <c r="BA132" s="5">
        <f t="shared" si="90"/>
        <v>6217808.8401913084</v>
      </c>
      <c r="BB132" s="5">
        <f t="shared" si="90"/>
        <v>1649628.3882585068</v>
      </c>
      <c r="BC132" s="5">
        <f t="shared" si="90"/>
        <v>688099.73106291215</v>
      </c>
      <c r="BD132" s="5">
        <f t="shared" si="90"/>
        <v>497661.5431369078</v>
      </c>
      <c r="BE132" s="5">
        <f t="shared" si="90"/>
        <v>722737.58613830071</v>
      </c>
      <c r="BF132" s="5">
        <f t="shared" si="90"/>
        <v>1180758.8161328998</v>
      </c>
      <c r="BG132" s="5">
        <f t="shared" si="90"/>
        <v>240761.57912717495</v>
      </c>
      <c r="BH132" s="5">
        <f t="shared" si="90"/>
        <v>158470.33458037069</v>
      </c>
      <c r="BI132" s="5">
        <f t="shared" si="90"/>
        <v>483562.24636433448</v>
      </c>
      <c r="BJ132" s="5">
        <f t="shared" si="90"/>
        <v>131017.18804679831</v>
      </c>
      <c r="BK132" s="5">
        <f t="shared" si="90"/>
        <v>652306.55867757951</v>
      </c>
      <c r="BL132" s="5">
        <f t="shared" si="90"/>
        <v>213340.97267642294</v>
      </c>
      <c r="BM132" s="5">
        <f t="shared" si="90"/>
        <v>342459.79031583585</v>
      </c>
      <c r="BN132" s="5">
        <f t="shared" si="90"/>
        <v>1446588.2373520902</v>
      </c>
      <c r="BO132" s="5">
        <f t="shared" ref="BO132:CB132" si="91">BO94</f>
        <v>730242.81318344467</v>
      </c>
      <c r="BP132" s="5">
        <f t="shared" si="91"/>
        <v>911714.0777438645</v>
      </c>
      <c r="BQ132" s="5">
        <f t="shared" si="91"/>
        <v>1909196.0207483531</v>
      </c>
      <c r="BR132" s="5">
        <f t="shared" si="91"/>
        <v>1364263.4465085573</v>
      </c>
      <c r="BS132" s="5">
        <f t="shared" si="91"/>
        <v>529708.05616109876</v>
      </c>
      <c r="BT132" s="5">
        <f t="shared" si="91"/>
        <v>4037656.9483543057</v>
      </c>
      <c r="BU132" s="5">
        <f t="shared" si="91"/>
        <v>927098.89590609388</v>
      </c>
      <c r="BV132" s="5">
        <f t="shared" si="91"/>
        <v>785682.15171412448</v>
      </c>
      <c r="BW132" s="5">
        <f t="shared" si="91"/>
        <v>239115.2294300631</v>
      </c>
      <c r="BX132" s="5">
        <f t="shared" si="91"/>
        <v>483106.57145892957</v>
      </c>
      <c r="BY132" s="5">
        <f t="shared" si="91"/>
        <v>3168820.3109736242</v>
      </c>
      <c r="BZ132" s="5">
        <f t="shared" si="91"/>
        <v>329030.19802164444</v>
      </c>
      <c r="CA132" s="5">
        <f t="shared" si="91"/>
        <v>543702.53169350326</v>
      </c>
      <c r="CB132" s="5">
        <f t="shared" si="91"/>
        <v>1485650.0299953402</v>
      </c>
    </row>
    <row r="133" spans="1:82" x14ac:dyDescent="0.2">
      <c r="B133" s="33" t="s">
        <v>88</v>
      </c>
      <c r="C133" s="5">
        <f t="shared" ref="C133:AH133" si="92">C99</f>
        <v>1469377.3799999994</v>
      </c>
      <c r="D133" s="5">
        <f t="shared" si="92"/>
        <v>313730.09999999998</v>
      </c>
      <c r="E133" s="5">
        <f t="shared" si="92"/>
        <v>28928.5</v>
      </c>
      <c r="F133" s="5">
        <f t="shared" si="92"/>
        <v>3141</v>
      </c>
      <c r="G133" s="5">
        <f t="shared" si="92"/>
        <v>2504.1999999999998</v>
      </c>
      <c r="H133" s="5">
        <f t="shared" si="92"/>
        <v>10797</v>
      </c>
      <c r="I133" s="5">
        <f t="shared" si="92"/>
        <v>14712</v>
      </c>
      <c r="J133" s="5">
        <f t="shared" si="92"/>
        <v>13212</v>
      </c>
      <c r="K133" s="5">
        <f t="shared" si="92"/>
        <v>2109.6</v>
      </c>
      <c r="L133" s="5">
        <f t="shared" si="92"/>
        <v>0</v>
      </c>
      <c r="M133" s="5">
        <f t="shared" si="92"/>
        <v>2700.35</v>
      </c>
      <c r="N133" s="5">
        <f t="shared" si="92"/>
        <v>6203.45</v>
      </c>
      <c r="O133" s="5">
        <f t="shared" si="92"/>
        <v>14819.4</v>
      </c>
      <c r="P133" s="5">
        <f t="shared" si="92"/>
        <v>39129.800000000003</v>
      </c>
      <c r="Q133" s="5">
        <f t="shared" si="92"/>
        <v>20072.3</v>
      </c>
      <c r="R133" s="5">
        <f t="shared" si="92"/>
        <v>11306</v>
      </c>
      <c r="S133" s="5">
        <f t="shared" si="92"/>
        <v>12532.7</v>
      </c>
      <c r="T133" s="5">
        <f t="shared" si="92"/>
        <v>28238.55</v>
      </c>
      <c r="U133" s="5">
        <f t="shared" si="92"/>
        <v>7480.9</v>
      </c>
      <c r="V133" s="5">
        <f t="shared" si="92"/>
        <v>9157.52</v>
      </c>
      <c r="W133" s="5">
        <f t="shared" si="92"/>
        <v>15641.25</v>
      </c>
      <c r="X133" s="5">
        <f t="shared" si="92"/>
        <v>16417</v>
      </c>
      <c r="Y133" s="5">
        <f t="shared" si="92"/>
        <v>7751</v>
      </c>
      <c r="Z133" s="5">
        <f t="shared" si="92"/>
        <v>3796.75</v>
      </c>
      <c r="AA133" s="5">
        <f t="shared" si="92"/>
        <v>39752.050000000003</v>
      </c>
      <c r="AB133" s="5">
        <f t="shared" si="92"/>
        <v>1998.45</v>
      </c>
      <c r="AC133" s="5">
        <f t="shared" si="92"/>
        <v>24352</v>
      </c>
      <c r="AD133" s="5">
        <f t="shared" si="92"/>
        <v>3986.6</v>
      </c>
      <c r="AE133" s="5">
        <f t="shared" si="92"/>
        <v>21069.35</v>
      </c>
      <c r="AF133" s="5">
        <f t="shared" si="92"/>
        <v>6893.4</v>
      </c>
      <c r="AG133" s="5">
        <f t="shared" si="92"/>
        <v>22083.8</v>
      </c>
      <c r="AH133" s="5">
        <f t="shared" si="92"/>
        <v>32262.2</v>
      </c>
      <c r="AI133" s="5">
        <f t="shared" ref="AI133:BN133" si="93">AI99</f>
        <v>6401.7</v>
      </c>
      <c r="AJ133" s="5">
        <f t="shared" si="93"/>
        <v>9030.4500000000007</v>
      </c>
      <c r="AK133" s="5">
        <f t="shared" si="93"/>
        <v>12280.65</v>
      </c>
      <c r="AL133" s="5">
        <f t="shared" si="93"/>
        <v>9201</v>
      </c>
      <c r="AM133" s="5">
        <f t="shared" si="93"/>
        <v>11412.8</v>
      </c>
      <c r="AN133" s="5">
        <f t="shared" si="93"/>
        <v>26016.1</v>
      </c>
      <c r="AO133" s="5">
        <f t="shared" si="93"/>
        <v>21874.5</v>
      </c>
      <c r="AP133" s="5">
        <f t="shared" si="93"/>
        <v>11647.2</v>
      </c>
      <c r="AQ133" s="5">
        <f t="shared" si="93"/>
        <v>11539.8</v>
      </c>
      <c r="AR133" s="5">
        <f t="shared" si="93"/>
        <v>187.6</v>
      </c>
      <c r="AS133" s="5">
        <f t="shared" si="93"/>
        <v>5474.7</v>
      </c>
      <c r="AT133" s="5">
        <f t="shared" si="93"/>
        <v>6150.2</v>
      </c>
      <c r="AU133" s="5">
        <f t="shared" si="93"/>
        <v>6676.75</v>
      </c>
      <c r="AV133" s="5">
        <f t="shared" si="93"/>
        <v>5638.2</v>
      </c>
      <c r="AW133" s="5">
        <f t="shared" si="93"/>
        <v>7023.95</v>
      </c>
      <c r="AX133" s="5">
        <f t="shared" si="93"/>
        <v>10301.9</v>
      </c>
      <c r="AY133" s="5">
        <f t="shared" si="93"/>
        <v>22587.55</v>
      </c>
      <c r="AZ133" s="5">
        <f t="shared" si="93"/>
        <v>13445.3</v>
      </c>
      <c r="BA133" s="5">
        <f t="shared" si="93"/>
        <v>91629.05</v>
      </c>
      <c r="BB133" s="5">
        <f t="shared" si="93"/>
        <v>17504.150000000001</v>
      </c>
      <c r="BC133" s="5">
        <f t="shared" si="93"/>
        <v>7260.4</v>
      </c>
      <c r="BD133" s="5">
        <f t="shared" si="93"/>
        <v>19283.55</v>
      </c>
      <c r="BE133" s="5">
        <f t="shared" si="93"/>
        <v>12384.32</v>
      </c>
      <c r="BF133" s="5">
        <f t="shared" si="93"/>
        <v>32213.4</v>
      </c>
      <c r="BG133" s="5">
        <f t="shared" si="93"/>
        <v>4051</v>
      </c>
      <c r="BH133" s="5">
        <f t="shared" si="93"/>
        <v>1676.4</v>
      </c>
      <c r="BI133" s="5">
        <f t="shared" si="93"/>
        <v>16381.95</v>
      </c>
      <c r="BJ133" s="5">
        <f t="shared" si="93"/>
        <v>4066.1</v>
      </c>
      <c r="BK133" s="5">
        <f t="shared" si="93"/>
        <v>15734.2</v>
      </c>
      <c r="BL133" s="5">
        <f t="shared" si="93"/>
        <v>6950</v>
      </c>
      <c r="BM133" s="5">
        <f t="shared" si="93"/>
        <v>8874.24</v>
      </c>
      <c r="BN133" s="5">
        <f t="shared" si="93"/>
        <v>28209.399999999998</v>
      </c>
      <c r="BO133" s="5">
        <f t="shared" ref="BO133:CB133" si="94">BO99</f>
        <v>6667.05</v>
      </c>
      <c r="BP133" s="5">
        <f t="shared" si="94"/>
        <v>12268.68</v>
      </c>
      <c r="BQ133" s="5">
        <f t="shared" si="94"/>
        <v>27474.7</v>
      </c>
      <c r="BR133" s="5">
        <f t="shared" si="94"/>
        <v>27596.35</v>
      </c>
      <c r="BS133" s="5">
        <f t="shared" si="94"/>
        <v>12108.55</v>
      </c>
      <c r="BT133" s="5">
        <f t="shared" si="94"/>
        <v>95559.2</v>
      </c>
      <c r="BU133" s="5">
        <f t="shared" si="94"/>
        <v>8137.9</v>
      </c>
      <c r="BV133" s="5">
        <f t="shared" si="94"/>
        <v>9789.35</v>
      </c>
      <c r="BW133" s="5">
        <f t="shared" si="94"/>
        <v>1307.4000000000001</v>
      </c>
      <c r="BX133" s="5">
        <f t="shared" si="94"/>
        <v>7942.45</v>
      </c>
      <c r="BY133" s="5">
        <f t="shared" si="94"/>
        <v>28479.18</v>
      </c>
      <c r="BZ133" s="5">
        <f t="shared" si="94"/>
        <v>5299.4</v>
      </c>
      <c r="CA133" s="5">
        <f t="shared" si="94"/>
        <v>11073.89</v>
      </c>
      <c r="CB133" s="5">
        <f t="shared" si="94"/>
        <v>15785.55</v>
      </c>
    </row>
    <row r="134" spans="1:82" x14ac:dyDescent="0.2">
      <c r="B134" s="33" t="s">
        <v>2</v>
      </c>
      <c r="C134" s="5">
        <f t="shared" ref="C134:AH134" si="95">C104</f>
        <v>50516230.789999992</v>
      </c>
      <c r="D134" s="5">
        <f t="shared" si="95"/>
        <v>7759040.5999999996</v>
      </c>
      <c r="E134" s="5">
        <f t="shared" si="95"/>
        <v>602568.6</v>
      </c>
      <c r="F134" s="5">
        <f t="shared" si="95"/>
        <v>201931</v>
      </c>
      <c r="G134" s="5">
        <f t="shared" si="95"/>
        <v>50129.25</v>
      </c>
      <c r="H134" s="5">
        <f t="shared" si="95"/>
        <v>512609.2</v>
      </c>
      <c r="I134" s="5">
        <f t="shared" si="95"/>
        <v>858072</v>
      </c>
      <c r="J134" s="5">
        <f t="shared" si="95"/>
        <v>371539</v>
      </c>
      <c r="K134" s="5">
        <f t="shared" si="95"/>
        <v>70162.7</v>
      </c>
      <c r="L134" s="5">
        <f t="shared" si="95"/>
        <v>51330.75</v>
      </c>
      <c r="M134" s="5">
        <f t="shared" si="95"/>
        <v>114777.1</v>
      </c>
      <c r="N134" s="5">
        <f t="shared" si="95"/>
        <v>121134.85</v>
      </c>
      <c r="O134" s="5">
        <f t="shared" si="95"/>
        <v>1319320.3</v>
      </c>
      <c r="P134" s="5">
        <f t="shared" si="95"/>
        <v>820566</v>
      </c>
      <c r="Q134" s="5">
        <f t="shared" si="95"/>
        <v>633640.85</v>
      </c>
      <c r="R134" s="5">
        <f t="shared" si="95"/>
        <v>268822</v>
      </c>
      <c r="S134" s="5">
        <f t="shared" si="95"/>
        <v>750192.65</v>
      </c>
      <c r="T134" s="5">
        <f t="shared" si="95"/>
        <v>922424.75</v>
      </c>
      <c r="U134" s="5">
        <f t="shared" si="95"/>
        <v>312553.09999999998</v>
      </c>
      <c r="V134" s="5">
        <f t="shared" si="95"/>
        <v>990552.25</v>
      </c>
      <c r="W134" s="5">
        <f t="shared" si="95"/>
        <v>627767.19999999995</v>
      </c>
      <c r="X134" s="5">
        <f t="shared" si="95"/>
        <v>897465</v>
      </c>
      <c r="Y134" s="5">
        <f t="shared" si="95"/>
        <v>505315</v>
      </c>
      <c r="Z134" s="5">
        <f t="shared" si="95"/>
        <v>143506.5</v>
      </c>
      <c r="AA134" s="5">
        <f t="shared" si="95"/>
        <v>1142091.1499999999</v>
      </c>
      <c r="AB134" s="5">
        <f t="shared" si="95"/>
        <v>107485.95</v>
      </c>
      <c r="AC134" s="5">
        <f t="shared" si="95"/>
        <v>491935</v>
      </c>
      <c r="AD134" s="5">
        <f t="shared" si="95"/>
        <v>232262.6</v>
      </c>
      <c r="AE134" s="5">
        <f t="shared" si="95"/>
        <v>480804.6</v>
      </c>
      <c r="AF134" s="5">
        <f t="shared" si="95"/>
        <v>473747.95</v>
      </c>
      <c r="AG134" s="5">
        <f t="shared" si="95"/>
        <v>658544.65</v>
      </c>
      <c r="AH134" s="5">
        <f t="shared" si="95"/>
        <v>1161784.69</v>
      </c>
      <c r="AI134" s="5">
        <f t="shared" ref="AI134:BN134" si="96">AI104</f>
        <v>634401.94999999995</v>
      </c>
      <c r="AJ134" s="5">
        <f t="shared" si="96"/>
        <v>272257.5</v>
      </c>
      <c r="AK134" s="5">
        <f t="shared" si="96"/>
        <v>471618.5</v>
      </c>
      <c r="AL134" s="5">
        <f t="shared" si="96"/>
        <v>298238</v>
      </c>
      <c r="AM134" s="5">
        <f t="shared" si="96"/>
        <v>750602.95</v>
      </c>
      <c r="AN134" s="5">
        <f t="shared" si="96"/>
        <v>97089.3</v>
      </c>
      <c r="AO134" s="5">
        <f t="shared" si="96"/>
        <v>477791.5</v>
      </c>
      <c r="AP134" s="5">
        <f t="shared" si="96"/>
        <v>650341.30000000005</v>
      </c>
      <c r="AQ134" s="5">
        <f t="shared" si="96"/>
        <v>371646.25</v>
      </c>
      <c r="AR134" s="5">
        <f t="shared" si="96"/>
        <v>342878.05</v>
      </c>
      <c r="AS134" s="5">
        <f t="shared" si="96"/>
        <v>314674.84999999998</v>
      </c>
      <c r="AT134" s="5">
        <f t="shared" si="96"/>
        <v>213517</v>
      </c>
      <c r="AU134" s="5">
        <f t="shared" si="96"/>
        <v>304452.84999999998</v>
      </c>
      <c r="AV134" s="5">
        <f t="shared" si="96"/>
        <v>228136.6</v>
      </c>
      <c r="AW134" s="5">
        <f t="shared" si="96"/>
        <v>510306.5</v>
      </c>
      <c r="AX134" s="5">
        <f t="shared" si="96"/>
        <v>535795.85</v>
      </c>
      <c r="AY134" s="5">
        <f t="shared" si="96"/>
        <v>735048.6</v>
      </c>
      <c r="AZ134" s="5">
        <f t="shared" si="96"/>
        <v>413855.55</v>
      </c>
      <c r="BA134" s="5">
        <f t="shared" si="96"/>
        <v>3530992.4</v>
      </c>
      <c r="BB134" s="5">
        <f t="shared" si="96"/>
        <v>1057959.8</v>
      </c>
      <c r="BC134" s="5">
        <f t="shared" si="96"/>
        <v>254062.05</v>
      </c>
      <c r="BD134" s="5">
        <f t="shared" si="96"/>
        <v>312094.3</v>
      </c>
      <c r="BE134" s="5">
        <f t="shared" si="96"/>
        <v>475510.7</v>
      </c>
      <c r="BF134" s="5">
        <f t="shared" si="96"/>
        <v>1012310.95</v>
      </c>
      <c r="BG134" s="5">
        <f t="shared" si="96"/>
        <v>91121.5</v>
      </c>
      <c r="BH134" s="5">
        <f t="shared" si="96"/>
        <v>60141.95</v>
      </c>
      <c r="BI134" s="5">
        <f t="shared" si="96"/>
        <v>304938.75</v>
      </c>
      <c r="BJ134" s="5">
        <f t="shared" si="96"/>
        <v>66087</v>
      </c>
      <c r="BK134" s="5">
        <f t="shared" si="96"/>
        <v>532642.80000000005</v>
      </c>
      <c r="BL134" s="5">
        <f t="shared" si="96"/>
        <v>76747</v>
      </c>
      <c r="BM134" s="5">
        <f t="shared" si="96"/>
        <v>183961.9</v>
      </c>
      <c r="BN134" s="5">
        <f t="shared" si="96"/>
        <v>810471.7</v>
      </c>
      <c r="BO134" s="5">
        <f t="shared" ref="BO134:CB134" si="97">BO104</f>
        <v>207294.05</v>
      </c>
      <c r="BP134" s="5">
        <f t="shared" si="97"/>
        <v>531672.69999999995</v>
      </c>
      <c r="BQ134" s="5">
        <f t="shared" si="97"/>
        <v>1521470.8</v>
      </c>
      <c r="BR134" s="5">
        <f t="shared" si="97"/>
        <v>774987</v>
      </c>
      <c r="BS134" s="5">
        <f t="shared" si="97"/>
        <v>327777</v>
      </c>
      <c r="BT134" s="5">
        <f t="shared" si="97"/>
        <v>3037553.9</v>
      </c>
      <c r="BU134" s="5">
        <f t="shared" si="97"/>
        <v>724658.35</v>
      </c>
      <c r="BV134" s="5">
        <f t="shared" si="97"/>
        <v>894400.4</v>
      </c>
      <c r="BW134" s="5">
        <f t="shared" si="97"/>
        <v>81215.55</v>
      </c>
      <c r="BX134" s="5">
        <f t="shared" si="97"/>
        <v>307108.25</v>
      </c>
      <c r="BY134" s="5">
        <f t="shared" si="97"/>
        <v>930792.05</v>
      </c>
      <c r="BZ134" s="5">
        <f t="shared" si="97"/>
        <v>292147</v>
      </c>
      <c r="CA134" s="5">
        <f t="shared" si="97"/>
        <v>228464.8</v>
      </c>
      <c r="CB134" s="5">
        <f t="shared" si="97"/>
        <v>610915.80000000005</v>
      </c>
    </row>
    <row r="135" spans="1:82" x14ac:dyDescent="0.2">
      <c r="B135" s="33" t="s">
        <v>3</v>
      </c>
      <c r="C135" s="5">
        <f t="shared" ref="C135:AH135" si="98">C109</f>
        <v>56581846.849999979</v>
      </c>
      <c r="D135" s="5">
        <f t="shared" si="98"/>
        <v>8979092.4000000004</v>
      </c>
      <c r="E135" s="5">
        <f t="shared" si="98"/>
        <v>585819.5</v>
      </c>
      <c r="F135" s="5">
        <f t="shared" si="98"/>
        <v>45120.65</v>
      </c>
      <c r="G135" s="5">
        <f t="shared" si="98"/>
        <v>18881.55</v>
      </c>
      <c r="H135" s="5">
        <f t="shared" si="98"/>
        <v>963980.80000000005</v>
      </c>
      <c r="I135" s="5">
        <f t="shared" si="98"/>
        <v>946750.95000000007</v>
      </c>
      <c r="J135" s="5">
        <f t="shared" si="98"/>
        <v>426407.75</v>
      </c>
      <c r="K135" s="5">
        <f t="shared" si="98"/>
        <v>175880.95</v>
      </c>
      <c r="L135" s="5">
        <f t="shared" si="98"/>
        <v>74134.2</v>
      </c>
      <c r="M135" s="5">
        <f t="shared" si="98"/>
        <v>112884.1</v>
      </c>
      <c r="N135" s="5">
        <f t="shared" si="98"/>
        <v>213183.7</v>
      </c>
      <c r="O135" s="5">
        <f t="shared" si="98"/>
        <v>1150060.7999999998</v>
      </c>
      <c r="P135" s="5">
        <f t="shared" si="98"/>
        <v>689818.7</v>
      </c>
      <c r="Q135" s="5">
        <f t="shared" si="98"/>
        <v>398828.1</v>
      </c>
      <c r="R135" s="5">
        <f t="shared" si="98"/>
        <v>284559.7</v>
      </c>
      <c r="S135" s="5">
        <f t="shared" si="98"/>
        <v>886559.95</v>
      </c>
      <c r="T135" s="5">
        <f t="shared" si="98"/>
        <v>713383.5</v>
      </c>
      <c r="U135" s="5">
        <f t="shared" si="98"/>
        <v>657603.29999999993</v>
      </c>
      <c r="V135" s="5">
        <f t="shared" si="98"/>
        <v>648685.29999999993</v>
      </c>
      <c r="W135" s="5">
        <f t="shared" si="98"/>
        <v>854432.79999999993</v>
      </c>
      <c r="X135" s="5">
        <f t="shared" si="98"/>
        <v>957994.14999999991</v>
      </c>
      <c r="Y135" s="5">
        <f t="shared" si="98"/>
        <v>792035.9</v>
      </c>
      <c r="Z135" s="5">
        <f t="shared" si="98"/>
        <v>298221.8</v>
      </c>
      <c r="AA135" s="5">
        <f t="shared" si="98"/>
        <v>1505804.55</v>
      </c>
      <c r="AB135" s="5">
        <f t="shared" si="98"/>
        <v>262726.65000000002</v>
      </c>
      <c r="AC135" s="5">
        <f t="shared" si="98"/>
        <v>1070160.3</v>
      </c>
      <c r="AD135" s="5">
        <f t="shared" si="98"/>
        <v>225212.65</v>
      </c>
      <c r="AE135" s="5">
        <f t="shared" si="98"/>
        <v>500829.05000000005</v>
      </c>
      <c r="AF135" s="5">
        <f t="shared" si="98"/>
        <v>380727.4</v>
      </c>
      <c r="AG135" s="5">
        <f t="shared" si="98"/>
        <v>518818.9</v>
      </c>
      <c r="AH135" s="5">
        <f t="shared" si="98"/>
        <v>1433931.1</v>
      </c>
      <c r="AI135" s="5">
        <f t="shared" ref="AI135:BN135" si="99">AI109</f>
        <v>440289.2</v>
      </c>
      <c r="AJ135" s="5">
        <f t="shared" si="99"/>
        <v>487892.8</v>
      </c>
      <c r="AK135" s="5">
        <f t="shared" si="99"/>
        <v>1351011.65</v>
      </c>
      <c r="AL135" s="5">
        <f t="shared" si="99"/>
        <v>385383.5</v>
      </c>
      <c r="AM135" s="5">
        <f t="shared" si="99"/>
        <v>1176282.8500000001</v>
      </c>
      <c r="AN135" s="5">
        <f t="shared" si="99"/>
        <v>165692.25</v>
      </c>
      <c r="AO135" s="5">
        <f t="shared" si="99"/>
        <v>475100.15</v>
      </c>
      <c r="AP135" s="5">
        <f t="shared" si="99"/>
        <v>1259003.3499999999</v>
      </c>
      <c r="AQ135" s="5">
        <f t="shared" si="99"/>
        <v>250384.15</v>
      </c>
      <c r="AR135" s="5">
        <f t="shared" si="99"/>
        <v>554016.55000000005</v>
      </c>
      <c r="AS135" s="5">
        <f t="shared" si="99"/>
        <v>231096.4</v>
      </c>
      <c r="AT135" s="5">
        <f t="shared" si="99"/>
        <v>372824.95</v>
      </c>
      <c r="AU135" s="5">
        <f t="shared" si="99"/>
        <v>586564.95000000007</v>
      </c>
      <c r="AV135" s="5">
        <f t="shared" si="99"/>
        <v>281473.65000000002</v>
      </c>
      <c r="AW135" s="5">
        <f t="shared" si="99"/>
        <v>326681</v>
      </c>
      <c r="AX135" s="5">
        <f t="shared" si="99"/>
        <v>1009783.6</v>
      </c>
      <c r="AY135" s="5">
        <f t="shared" si="99"/>
        <v>519158.5</v>
      </c>
      <c r="AZ135" s="5">
        <f t="shared" si="99"/>
        <v>540645.9</v>
      </c>
      <c r="BA135" s="5">
        <f t="shared" si="99"/>
        <v>2744472.6999999997</v>
      </c>
      <c r="BB135" s="5">
        <f t="shared" si="99"/>
        <v>1353915</v>
      </c>
      <c r="BC135" s="5">
        <f t="shared" si="99"/>
        <v>292651.55</v>
      </c>
      <c r="BD135" s="5">
        <f t="shared" si="99"/>
        <v>390845.75</v>
      </c>
      <c r="BE135" s="5">
        <f t="shared" si="99"/>
        <v>276698.90000000002</v>
      </c>
      <c r="BF135" s="5">
        <f t="shared" si="99"/>
        <v>545117.69999999995</v>
      </c>
      <c r="BG135" s="5">
        <f t="shared" si="99"/>
        <v>350803.65</v>
      </c>
      <c r="BH135" s="5">
        <f t="shared" si="99"/>
        <v>51555.1</v>
      </c>
      <c r="BI135" s="5">
        <f t="shared" si="99"/>
        <v>447912.05</v>
      </c>
      <c r="BJ135" s="5">
        <f t="shared" si="99"/>
        <v>16915.25</v>
      </c>
      <c r="BK135" s="5">
        <f t="shared" si="99"/>
        <v>275235.89999999997</v>
      </c>
      <c r="BL135" s="5">
        <f t="shared" si="99"/>
        <v>180934.55</v>
      </c>
      <c r="BM135" s="5">
        <f t="shared" si="99"/>
        <v>54326.6</v>
      </c>
      <c r="BN135" s="5">
        <f t="shared" si="99"/>
        <v>542403.55000000005</v>
      </c>
      <c r="BO135" s="5">
        <f t="shared" ref="BO135:CB135" si="100">BO109</f>
        <v>332018.15000000002</v>
      </c>
      <c r="BP135" s="5">
        <f t="shared" si="100"/>
        <v>1301429.1499999999</v>
      </c>
      <c r="BQ135" s="5">
        <f t="shared" si="100"/>
        <v>1179776.1499999999</v>
      </c>
      <c r="BR135" s="5">
        <f t="shared" si="100"/>
        <v>508294.25</v>
      </c>
      <c r="BS135" s="5">
        <f t="shared" si="100"/>
        <v>476961</v>
      </c>
      <c r="BT135" s="5">
        <f t="shared" si="100"/>
        <v>2466365.4</v>
      </c>
      <c r="BU135" s="5">
        <f t="shared" si="100"/>
        <v>901329.75</v>
      </c>
      <c r="BV135" s="5">
        <f t="shared" si="100"/>
        <v>352072.19999999995</v>
      </c>
      <c r="BW135" s="5">
        <f t="shared" si="100"/>
        <v>53577</v>
      </c>
      <c r="BX135" s="5">
        <f t="shared" si="100"/>
        <v>197538.95</v>
      </c>
      <c r="BY135" s="5">
        <f t="shared" si="100"/>
        <v>2033084.1500000001</v>
      </c>
      <c r="BZ135" s="5">
        <f t="shared" si="100"/>
        <v>83816.55</v>
      </c>
      <c r="CA135" s="5">
        <f t="shared" si="100"/>
        <v>464858.1</v>
      </c>
      <c r="CB135" s="5">
        <f t="shared" si="100"/>
        <v>1521121.25</v>
      </c>
    </row>
    <row r="136" spans="1:82" x14ac:dyDescent="0.2">
      <c r="B136" s="33" t="s">
        <v>82</v>
      </c>
      <c r="C136" s="5">
        <f>SUM(C129:C135)</f>
        <v>1766658760.6135743</v>
      </c>
      <c r="D136" s="5">
        <f t="shared" ref="D136:BO136" si="101">SUM(D129:D135)</f>
        <v>294301695.10329455</v>
      </c>
      <c r="E136" s="5">
        <f t="shared" si="101"/>
        <v>27667351.903374635</v>
      </c>
      <c r="F136" s="5">
        <f t="shared" si="101"/>
        <v>3689302.5026000887</v>
      </c>
      <c r="G136" s="5">
        <f t="shared" si="101"/>
        <v>3153070.2191798952</v>
      </c>
      <c r="H136" s="5">
        <f t="shared" si="101"/>
        <v>21005482.693810038</v>
      </c>
      <c r="I136" s="5">
        <f t="shared" si="101"/>
        <v>31603846.857907806</v>
      </c>
      <c r="J136" s="5">
        <f t="shared" si="101"/>
        <v>12188318.107999286</v>
      </c>
      <c r="K136" s="5">
        <f t="shared" si="101"/>
        <v>2970909.200362179</v>
      </c>
      <c r="L136" s="5">
        <f t="shared" si="101"/>
        <v>6543063.5383871673</v>
      </c>
      <c r="M136" s="5">
        <f t="shared" si="101"/>
        <v>3532032.2234160565</v>
      </c>
      <c r="N136" s="5">
        <f t="shared" si="101"/>
        <v>7038629.5709095411</v>
      </c>
      <c r="O136" s="5">
        <f t="shared" si="101"/>
        <v>26108252.636738457</v>
      </c>
      <c r="P136" s="5">
        <f t="shared" si="101"/>
        <v>26902421.706343256</v>
      </c>
      <c r="Q136" s="5">
        <f t="shared" si="101"/>
        <v>26318503.51273863</v>
      </c>
      <c r="R136" s="5">
        <f t="shared" si="101"/>
        <v>10833088.655122112</v>
      </c>
      <c r="S136" s="5">
        <f t="shared" si="101"/>
        <v>16722388.431936558</v>
      </c>
      <c r="T136" s="5">
        <f t="shared" si="101"/>
        <v>30663516.122203041</v>
      </c>
      <c r="U136" s="5">
        <f t="shared" si="101"/>
        <v>15666904.096500324</v>
      </c>
      <c r="V136" s="5">
        <f t="shared" si="101"/>
        <v>25039051.950471789</v>
      </c>
      <c r="W136" s="5">
        <f t="shared" si="101"/>
        <v>22910796.590242207</v>
      </c>
      <c r="X136" s="5">
        <f t="shared" si="101"/>
        <v>37444980.939399287</v>
      </c>
      <c r="Y136" s="5">
        <f t="shared" si="101"/>
        <v>14329208.124707595</v>
      </c>
      <c r="Z136" s="5">
        <f t="shared" si="101"/>
        <v>6245110.8090277007</v>
      </c>
      <c r="AA136" s="5">
        <f t="shared" si="101"/>
        <v>39984715.830379762</v>
      </c>
      <c r="AB136" s="5">
        <f t="shared" si="101"/>
        <v>4292012.5206970125</v>
      </c>
      <c r="AC136" s="5">
        <f t="shared" si="101"/>
        <v>28176825.895111937</v>
      </c>
      <c r="AD136" s="5">
        <f t="shared" si="101"/>
        <v>6881240.3411122793</v>
      </c>
      <c r="AE136" s="5">
        <f t="shared" si="101"/>
        <v>23568583.843791563</v>
      </c>
      <c r="AF136" s="5">
        <f t="shared" si="101"/>
        <v>9895540.5181548037</v>
      </c>
      <c r="AG136" s="5">
        <f t="shared" si="101"/>
        <v>20171280.4783655</v>
      </c>
      <c r="AH136" s="5">
        <f t="shared" si="101"/>
        <v>46714880.545198746</v>
      </c>
      <c r="AI136" s="5">
        <f t="shared" si="101"/>
        <v>15441851.333234219</v>
      </c>
      <c r="AJ136" s="5">
        <f t="shared" si="101"/>
        <v>13473105.489180822</v>
      </c>
      <c r="AK136" s="5">
        <f t="shared" si="101"/>
        <v>19442634.550971173</v>
      </c>
      <c r="AL136" s="5">
        <f t="shared" si="101"/>
        <v>13066902.304817425</v>
      </c>
      <c r="AM136" s="5">
        <f t="shared" si="101"/>
        <v>23048913.431472167</v>
      </c>
      <c r="AN136" s="5">
        <f t="shared" si="101"/>
        <v>3892814.7396379323</v>
      </c>
      <c r="AO136" s="5">
        <f t="shared" si="101"/>
        <v>22744128.835179795</v>
      </c>
      <c r="AP136" s="5">
        <f t="shared" si="101"/>
        <v>15375978.477048865</v>
      </c>
      <c r="AQ136" s="5">
        <f t="shared" si="101"/>
        <v>16327616.991691321</v>
      </c>
      <c r="AR136" s="5">
        <f t="shared" si="101"/>
        <v>9048679.140474949</v>
      </c>
      <c r="AS136" s="5">
        <f t="shared" si="101"/>
        <v>6743975.7259212537</v>
      </c>
      <c r="AT136" s="5">
        <f t="shared" si="101"/>
        <v>6420480.7180537265</v>
      </c>
      <c r="AU136" s="5">
        <f t="shared" si="101"/>
        <v>10299297.540697547</v>
      </c>
      <c r="AV136" s="5">
        <f t="shared" si="101"/>
        <v>8422101.5666161869</v>
      </c>
      <c r="AW136" s="5">
        <f t="shared" si="101"/>
        <v>13136241.145977775</v>
      </c>
      <c r="AX136" s="5">
        <f t="shared" si="101"/>
        <v>17804420.896288961</v>
      </c>
      <c r="AY136" s="5">
        <f t="shared" si="101"/>
        <v>19418444.932045668</v>
      </c>
      <c r="AZ136" s="5">
        <f t="shared" si="101"/>
        <v>13497360.053125298</v>
      </c>
      <c r="BA136" s="5">
        <f t="shared" si="101"/>
        <v>159515582.71089</v>
      </c>
      <c r="BB136" s="5">
        <f t="shared" si="101"/>
        <v>29683523.927633904</v>
      </c>
      <c r="BC136" s="5">
        <f t="shared" si="101"/>
        <v>8053500.4333097422</v>
      </c>
      <c r="BD136" s="5">
        <f t="shared" si="101"/>
        <v>8988083.2708737049</v>
      </c>
      <c r="BE136" s="5">
        <f t="shared" si="101"/>
        <v>12639724.740006631</v>
      </c>
      <c r="BF136" s="5">
        <f t="shared" si="101"/>
        <v>22776543.698743153</v>
      </c>
      <c r="BG136" s="5">
        <f t="shared" si="101"/>
        <v>5058962.4995057601</v>
      </c>
      <c r="BH136" s="5">
        <f t="shared" si="101"/>
        <v>2859622.0985026578</v>
      </c>
      <c r="BI136" s="5">
        <f t="shared" si="101"/>
        <v>8533075.8033709545</v>
      </c>
      <c r="BJ136" s="5">
        <f t="shared" si="101"/>
        <v>1925806.315567361</v>
      </c>
      <c r="BK136" s="5">
        <f t="shared" si="101"/>
        <v>12489975.966959242</v>
      </c>
      <c r="BL136" s="5">
        <f t="shared" si="101"/>
        <v>3812726.0863378523</v>
      </c>
      <c r="BM136" s="5">
        <f t="shared" si="101"/>
        <v>6181738.3148398576</v>
      </c>
      <c r="BN136" s="5">
        <f t="shared" si="101"/>
        <v>25244313.080102365</v>
      </c>
      <c r="BO136" s="5">
        <f t="shared" si="101"/>
        <v>11116444.385198487</v>
      </c>
      <c r="BP136" s="5">
        <f t="shared" ref="BP136:CB136" si="102">SUM(BP129:BP135)</f>
        <v>19207309.36217349</v>
      </c>
      <c r="BQ136" s="5">
        <f t="shared" si="102"/>
        <v>37025443.88331569</v>
      </c>
      <c r="BR136" s="5">
        <f t="shared" si="102"/>
        <v>28492847.285137385</v>
      </c>
      <c r="BS136" s="5">
        <f t="shared" si="102"/>
        <v>10615136.471748315</v>
      </c>
      <c r="BT136" s="5">
        <f t="shared" si="102"/>
        <v>90643888.71597299</v>
      </c>
      <c r="BU136" s="5">
        <f t="shared" si="102"/>
        <v>20809062.950864125</v>
      </c>
      <c r="BV136" s="5">
        <f t="shared" si="102"/>
        <v>16305259.063379241</v>
      </c>
      <c r="BW136" s="5">
        <f t="shared" si="102"/>
        <v>4013469.308736918</v>
      </c>
      <c r="BX136" s="5">
        <f t="shared" si="102"/>
        <v>9158336.7664364744</v>
      </c>
      <c r="BY136" s="5">
        <f t="shared" si="102"/>
        <v>61946119.977562092</v>
      </c>
      <c r="BZ136" s="5">
        <f t="shared" si="102"/>
        <v>6888793.5234403964</v>
      </c>
      <c r="CA136" s="5">
        <f t="shared" si="102"/>
        <v>10323104.300163273</v>
      </c>
      <c r="CB136" s="5">
        <f t="shared" si="102"/>
        <v>32182412.330883838</v>
      </c>
    </row>
    <row r="137" spans="1:82" x14ac:dyDescent="0.2">
      <c r="B137" s="3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</row>
    <row r="138" spans="1:82" x14ac:dyDescent="0.2">
      <c r="B138" s="33" t="s">
        <v>83</v>
      </c>
      <c r="C138" s="51">
        <f>SUM(D138:CB138)</f>
        <v>507697</v>
      </c>
      <c r="D138" s="49">
        <v>75833</v>
      </c>
      <c r="E138" s="49">
        <v>9691</v>
      </c>
      <c r="F138" s="49">
        <v>1365</v>
      </c>
      <c r="G138" s="49">
        <v>1200</v>
      </c>
      <c r="H138" s="49">
        <v>3585</v>
      </c>
      <c r="I138" s="49">
        <v>9269</v>
      </c>
      <c r="J138" s="49">
        <v>3606</v>
      </c>
      <c r="K138" s="49">
        <v>850</v>
      </c>
      <c r="L138" s="49">
        <v>1461</v>
      </c>
      <c r="M138" s="49">
        <v>1073</v>
      </c>
      <c r="N138" s="49">
        <v>2280</v>
      </c>
      <c r="O138" s="49">
        <v>7286</v>
      </c>
      <c r="P138" s="49">
        <v>9441</v>
      </c>
      <c r="Q138" s="49">
        <v>6571</v>
      </c>
      <c r="R138" s="49">
        <v>3419</v>
      </c>
      <c r="S138" s="49">
        <v>5890</v>
      </c>
      <c r="T138" s="49">
        <v>7789</v>
      </c>
      <c r="U138" s="49">
        <v>3963</v>
      </c>
      <c r="V138" s="49">
        <v>4798</v>
      </c>
      <c r="W138" s="49">
        <v>6471</v>
      </c>
      <c r="X138" s="49">
        <v>9619</v>
      </c>
      <c r="Y138" s="49">
        <v>4494</v>
      </c>
      <c r="Z138" s="49">
        <v>2105</v>
      </c>
      <c r="AA138" s="49">
        <v>11733</v>
      </c>
      <c r="AB138" s="49">
        <v>1535</v>
      </c>
      <c r="AC138" s="49">
        <v>8879</v>
      </c>
      <c r="AD138" s="49">
        <v>2399</v>
      </c>
      <c r="AE138" s="49">
        <v>5592</v>
      </c>
      <c r="AF138" s="49">
        <v>3471</v>
      </c>
      <c r="AG138" s="49">
        <v>7068</v>
      </c>
      <c r="AH138" s="49">
        <v>12661</v>
      </c>
      <c r="AI138" s="49">
        <v>5104</v>
      </c>
      <c r="AJ138" s="49">
        <v>5297</v>
      </c>
      <c r="AK138" s="49">
        <v>6133</v>
      </c>
      <c r="AL138" s="49">
        <v>4817</v>
      </c>
      <c r="AM138" s="49">
        <v>6102</v>
      </c>
      <c r="AN138" s="49">
        <v>1565</v>
      </c>
      <c r="AO138" s="49">
        <v>8623</v>
      </c>
      <c r="AP138" s="49">
        <v>4858</v>
      </c>
      <c r="AQ138" s="49">
        <v>5679</v>
      </c>
      <c r="AR138" s="49">
        <v>2937</v>
      </c>
      <c r="AS138" s="49">
        <v>1784</v>
      </c>
      <c r="AT138" s="49">
        <v>1724</v>
      </c>
      <c r="AU138" s="49">
        <v>3819</v>
      </c>
      <c r="AV138" s="49">
        <v>3025</v>
      </c>
      <c r="AW138" s="49">
        <v>4839</v>
      </c>
      <c r="AX138" s="49">
        <v>5167</v>
      </c>
      <c r="AY138" s="49">
        <v>6417</v>
      </c>
      <c r="AZ138" s="49">
        <v>3710</v>
      </c>
      <c r="BA138" s="49">
        <v>26999</v>
      </c>
      <c r="BB138" s="49">
        <v>9605</v>
      </c>
      <c r="BC138" s="49">
        <v>2626</v>
      </c>
      <c r="BD138" s="49">
        <v>3578</v>
      </c>
      <c r="BE138" s="49">
        <v>5031</v>
      </c>
      <c r="BF138" s="49">
        <v>8740</v>
      </c>
      <c r="BG138" s="49">
        <v>1869</v>
      </c>
      <c r="BH138" s="49">
        <v>1261</v>
      </c>
      <c r="BI138" s="49">
        <v>4035</v>
      </c>
      <c r="BJ138" s="49">
        <v>906</v>
      </c>
      <c r="BK138" s="49">
        <v>4876</v>
      </c>
      <c r="BL138" s="49">
        <v>1576</v>
      </c>
      <c r="BM138" s="49">
        <v>2881</v>
      </c>
      <c r="BN138" s="49">
        <v>9073</v>
      </c>
      <c r="BO138" s="49">
        <v>3774</v>
      </c>
      <c r="BP138" s="49">
        <v>6413</v>
      </c>
      <c r="BQ138" s="49">
        <v>12892</v>
      </c>
      <c r="BR138" s="49">
        <v>10523</v>
      </c>
      <c r="BS138" s="49">
        <v>4130</v>
      </c>
      <c r="BT138" s="49">
        <v>23966</v>
      </c>
      <c r="BU138" s="49">
        <v>4785</v>
      </c>
      <c r="BV138" s="49">
        <v>4448</v>
      </c>
      <c r="BW138" s="49">
        <v>1514</v>
      </c>
      <c r="BX138" s="49">
        <v>3149</v>
      </c>
      <c r="BY138" s="49">
        <v>18173</v>
      </c>
      <c r="BZ138" s="49">
        <v>2014</v>
      </c>
      <c r="CA138" s="49">
        <v>3500</v>
      </c>
      <c r="CB138" s="49">
        <v>8363</v>
      </c>
      <c r="CD138" s="3" t="s">
        <v>118</v>
      </c>
    </row>
    <row r="139" spans="1:82" x14ac:dyDescent="0.2">
      <c r="B139" s="3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</row>
    <row r="140" spans="1:82" s="32" customFormat="1" x14ac:dyDescent="0.2">
      <c r="A140" s="21"/>
      <c r="B140" s="21" t="s">
        <v>112</v>
      </c>
      <c r="C140" s="52">
        <f>C136/C138</f>
        <v>3479.7502459411307</v>
      </c>
      <c r="D140" s="52">
        <f t="shared" ref="D140:BO140" si="103">D136/D138</f>
        <v>3880.9185328721605</v>
      </c>
      <c r="E140" s="52">
        <f t="shared" si="103"/>
        <v>2854.9532456273487</v>
      </c>
      <c r="F140" s="52">
        <f t="shared" si="103"/>
        <v>2702.7857161905413</v>
      </c>
      <c r="G140" s="52">
        <f t="shared" si="103"/>
        <v>2627.5585159832463</v>
      </c>
      <c r="H140" s="52">
        <f t="shared" si="103"/>
        <v>5859.2699285383651</v>
      </c>
      <c r="I140" s="52">
        <f t="shared" si="103"/>
        <v>3409.6285314389693</v>
      </c>
      <c r="J140" s="52">
        <f t="shared" si="103"/>
        <v>3380.0105679421204</v>
      </c>
      <c r="K140" s="52">
        <f t="shared" si="103"/>
        <v>3495.1872945437399</v>
      </c>
      <c r="L140" s="52">
        <f t="shared" si="103"/>
        <v>4478.4829147071641</v>
      </c>
      <c r="M140" s="52">
        <f t="shared" si="103"/>
        <v>3291.7355297446938</v>
      </c>
      <c r="N140" s="52">
        <f t="shared" si="103"/>
        <v>3087.1182328550617</v>
      </c>
      <c r="O140" s="52">
        <f t="shared" si="103"/>
        <v>3583.3451326843888</v>
      </c>
      <c r="P140" s="52">
        <f t="shared" si="103"/>
        <v>2849.5309507831012</v>
      </c>
      <c r="Q140" s="52">
        <f t="shared" si="103"/>
        <v>4005.2508769956826</v>
      </c>
      <c r="R140" s="52">
        <f t="shared" si="103"/>
        <v>3168.4962430892401</v>
      </c>
      <c r="S140" s="52">
        <f t="shared" si="103"/>
        <v>2839.1151836904173</v>
      </c>
      <c r="T140" s="52">
        <f t="shared" si="103"/>
        <v>3936.7718734372884</v>
      </c>
      <c r="U140" s="52">
        <f t="shared" si="103"/>
        <v>3953.2939935655627</v>
      </c>
      <c r="V140" s="52">
        <f t="shared" si="103"/>
        <v>5218.6435911779472</v>
      </c>
      <c r="W140" s="52">
        <f t="shared" si="103"/>
        <v>3540.5341663177574</v>
      </c>
      <c r="X140" s="52">
        <f t="shared" si="103"/>
        <v>3892.8143195133889</v>
      </c>
      <c r="Y140" s="52">
        <f t="shared" si="103"/>
        <v>3188.5198319331539</v>
      </c>
      <c r="Z140" s="52">
        <f t="shared" si="103"/>
        <v>2966.7984840986701</v>
      </c>
      <c r="AA140" s="52">
        <f t="shared" si="103"/>
        <v>3407.8850959157726</v>
      </c>
      <c r="AB140" s="52">
        <f t="shared" si="103"/>
        <v>2796.0993620175977</v>
      </c>
      <c r="AC140" s="52">
        <f t="shared" si="103"/>
        <v>3173.4233466732671</v>
      </c>
      <c r="AD140" s="52">
        <f t="shared" si="103"/>
        <v>2868.3786332272944</v>
      </c>
      <c r="AE140" s="52">
        <f t="shared" si="103"/>
        <v>4214.696681650852</v>
      </c>
      <c r="AF140" s="52">
        <f t="shared" si="103"/>
        <v>2850.9191927844436</v>
      </c>
      <c r="AG140" s="52">
        <f t="shared" si="103"/>
        <v>2853.8880133510893</v>
      </c>
      <c r="AH140" s="52">
        <f t="shared" si="103"/>
        <v>3689.6675258825326</v>
      </c>
      <c r="AI140" s="52">
        <f t="shared" si="103"/>
        <v>3025.4410919346042</v>
      </c>
      <c r="AJ140" s="52">
        <f t="shared" si="103"/>
        <v>2543.5351121730832</v>
      </c>
      <c r="AK140" s="52">
        <f t="shared" si="103"/>
        <v>3170.1670554330954</v>
      </c>
      <c r="AL140" s="52">
        <f t="shared" si="103"/>
        <v>2712.6639619716475</v>
      </c>
      <c r="AM140" s="52">
        <f t="shared" si="103"/>
        <v>3777.2719487827217</v>
      </c>
      <c r="AN140" s="52">
        <f t="shared" si="103"/>
        <v>2487.4215588740781</v>
      </c>
      <c r="AO140" s="52">
        <f t="shared" si="103"/>
        <v>2637.6120648474771</v>
      </c>
      <c r="AP140" s="52">
        <f t="shared" si="103"/>
        <v>3165.0840833776997</v>
      </c>
      <c r="AQ140" s="52">
        <f t="shared" si="103"/>
        <v>2875.0866335078927</v>
      </c>
      <c r="AR140" s="52">
        <f t="shared" si="103"/>
        <v>3080.9258224293321</v>
      </c>
      <c r="AS140" s="52">
        <f t="shared" si="103"/>
        <v>3780.2554517495819</v>
      </c>
      <c r="AT140" s="52">
        <f t="shared" si="103"/>
        <v>3724.1767506112101</v>
      </c>
      <c r="AU140" s="52">
        <f t="shared" si="103"/>
        <v>2696.8571722172155</v>
      </c>
      <c r="AV140" s="52">
        <f t="shared" si="103"/>
        <v>2784.1658071458469</v>
      </c>
      <c r="AW140" s="52">
        <f t="shared" si="103"/>
        <v>2714.6602905513068</v>
      </c>
      <c r="AX140" s="52">
        <f t="shared" si="103"/>
        <v>3445.7946383373255</v>
      </c>
      <c r="AY140" s="52">
        <f t="shared" si="103"/>
        <v>3026.0939585547248</v>
      </c>
      <c r="AZ140" s="52">
        <f t="shared" si="103"/>
        <v>3638.1024401954978</v>
      </c>
      <c r="BA140" s="52">
        <f t="shared" si="103"/>
        <v>5908.2033671947111</v>
      </c>
      <c r="BB140" s="52">
        <f t="shared" si="103"/>
        <v>3090.4241465522023</v>
      </c>
      <c r="BC140" s="52">
        <f t="shared" si="103"/>
        <v>3066.8318481758347</v>
      </c>
      <c r="BD140" s="52">
        <f t="shared" si="103"/>
        <v>2512.041160110035</v>
      </c>
      <c r="BE140" s="52">
        <f t="shared" si="103"/>
        <v>2512.3682647598152</v>
      </c>
      <c r="BF140" s="52">
        <f t="shared" si="103"/>
        <v>2606.0118648447542</v>
      </c>
      <c r="BG140" s="52">
        <f t="shared" si="103"/>
        <v>2706.7750131116964</v>
      </c>
      <c r="BH140" s="52">
        <f t="shared" si="103"/>
        <v>2267.7415531345423</v>
      </c>
      <c r="BI140" s="52">
        <f t="shared" si="103"/>
        <v>2114.7647591997411</v>
      </c>
      <c r="BJ140" s="52">
        <f t="shared" si="103"/>
        <v>2125.614034842562</v>
      </c>
      <c r="BK140" s="52">
        <f t="shared" si="103"/>
        <v>2561.5209120096888</v>
      </c>
      <c r="BL140" s="52">
        <f t="shared" si="103"/>
        <v>2419.2424405697034</v>
      </c>
      <c r="BM140" s="52">
        <f t="shared" si="103"/>
        <v>2145.6918829711412</v>
      </c>
      <c r="BN140" s="52">
        <f t="shared" si="103"/>
        <v>2782.3556794998749</v>
      </c>
      <c r="BO140" s="52">
        <f t="shared" si="103"/>
        <v>2945.5337533647289</v>
      </c>
      <c r="BP140" s="52">
        <f t="shared" ref="BP140:CB140" si="104">BP136/BP138</f>
        <v>2995.0583755143443</v>
      </c>
      <c r="BQ140" s="52">
        <f t="shared" si="104"/>
        <v>2871.9705153052814</v>
      </c>
      <c r="BR140" s="52">
        <f t="shared" si="104"/>
        <v>2707.6734092119532</v>
      </c>
      <c r="BS140" s="52">
        <f t="shared" si="104"/>
        <v>2570.2509616824009</v>
      </c>
      <c r="BT140" s="52">
        <f t="shared" si="104"/>
        <v>3782.1867944576898</v>
      </c>
      <c r="BU140" s="52">
        <f t="shared" si="104"/>
        <v>4348.8114839841428</v>
      </c>
      <c r="BV140" s="52">
        <f t="shared" si="104"/>
        <v>3665.7506887093618</v>
      </c>
      <c r="BW140" s="52">
        <f t="shared" si="104"/>
        <v>2650.9044311340276</v>
      </c>
      <c r="BX140" s="52">
        <f t="shared" si="104"/>
        <v>2908.3317772106939</v>
      </c>
      <c r="BY140" s="52">
        <f t="shared" si="104"/>
        <v>3408.6898133253781</v>
      </c>
      <c r="BZ140" s="52">
        <f t="shared" si="104"/>
        <v>3420.4535866139008</v>
      </c>
      <c r="CA140" s="52">
        <f t="shared" si="104"/>
        <v>2949.4583714752207</v>
      </c>
      <c r="CB140" s="52">
        <f t="shared" si="104"/>
        <v>3848.1899235781225</v>
      </c>
      <c r="CC140" s="21"/>
      <c r="CD140" s="21"/>
    </row>
    <row r="141" spans="1:82" x14ac:dyDescent="0.2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</row>
    <row r="142" spans="1:82" x14ac:dyDescent="0.2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</row>
    <row r="143" spans="1:82" s="32" customFormat="1" x14ac:dyDescent="0.2">
      <c r="A143" s="25" t="s">
        <v>176</v>
      </c>
      <c r="B143" s="27" t="s">
        <v>107</v>
      </c>
      <c r="C143" s="16">
        <f t="shared" ref="C143:AH143" si="105">AVERAGE(C126,C140)</f>
        <v>3495.3617861003431</v>
      </c>
      <c r="D143" s="16">
        <f t="shared" si="105"/>
        <v>3867.3545631675261</v>
      </c>
      <c r="E143" s="16">
        <f t="shared" si="105"/>
        <v>2830.7663831747841</v>
      </c>
      <c r="F143" s="16">
        <f t="shared" si="105"/>
        <v>2730.7656871398221</v>
      </c>
      <c r="G143" s="16">
        <f t="shared" si="105"/>
        <v>2579.412848888127</v>
      </c>
      <c r="H143" s="16">
        <f t="shared" si="105"/>
        <v>5904.7771020621094</v>
      </c>
      <c r="I143" s="16">
        <f t="shared" si="105"/>
        <v>3465.8510692185291</v>
      </c>
      <c r="J143" s="16">
        <f t="shared" si="105"/>
        <v>3412.9903446836142</v>
      </c>
      <c r="K143" s="16">
        <f t="shared" si="105"/>
        <v>3491.0487299779493</v>
      </c>
      <c r="L143" s="16">
        <f t="shared" si="105"/>
        <v>4332.0949110273523</v>
      </c>
      <c r="M143" s="16">
        <f t="shared" si="105"/>
        <v>3207.0057638570252</v>
      </c>
      <c r="N143" s="16">
        <f t="shared" si="105"/>
        <v>3044.0460460188597</v>
      </c>
      <c r="O143" s="16">
        <f t="shared" si="105"/>
        <v>3547.48699518888</v>
      </c>
      <c r="P143" s="16">
        <f t="shared" si="105"/>
        <v>2818.277237253445</v>
      </c>
      <c r="Q143" s="16">
        <f t="shared" si="105"/>
        <v>4286.7306015330178</v>
      </c>
      <c r="R143" s="16">
        <f t="shared" si="105"/>
        <v>3043.122040435007</v>
      </c>
      <c r="S143" s="16">
        <f t="shared" si="105"/>
        <v>2726.7864831975448</v>
      </c>
      <c r="T143" s="16">
        <f t="shared" si="105"/>
        <v>4088.3633262043249</v>
      </c>
      <c r="U143" s="16">
        <f t="shared" si="105"/>
        <v>3970.7240496704026</v>
      </c>
      <c r="V143" s="16">
        <f t="shared" si="105"/>
        <v>5488.6209302469533</v>
      </c>
      <c r="W143" s="16">
        <f t="shared" si="105"/>
        <v>3600.1505555737112</v>
      </c>
      <c r="X143" s="16">
        <f t="shared" si="105"/>
        <v>3918.8071489127824</v>
      </c>
      <c r="Y143" s="16">
        <f t="shared" si="105"/>
        <v>3180.6009333502107</v>
      </c>
      <c r="Z143" s="16">
        <f t="shared" si="105"/>
        <v>2999.1631280664124</v>
      </c>
      <c r="AA143" s="16">
        <f t="shared" si="105"/>
        <v>3351.1260401368863</v>
      </c>
      <c r="AB143" s="16">
        <f t="shared" si="105"/>
        <v>2767.8879586213448</v>
      </c>
      <c r="AC143" s="16">
        <f t="shared" si="105"/>
        <v>3252.3246589974315</v>
      </c>
      <c r="AD143" s="16">
        <f t="shared" si="105"/>
        <v>2907.7514519346323</v>
      </c>
      <c r="AE143" s="16">
        <f t="shared" si="105"/>
        <v>4215.4642465037987</v>
      </c>
      <c r="AF143" s="16">
        <f t="shared" si="105"/>
        <v>2794.0088099901532</v>
      </c>
      <c r="AG143" s="16">
        <f t="shared" si="105"/>
        <v>2866.4641793258297</v>
      </c>
      <c r="AH143" s="16">
        <f t="shared" si="105"/>
        <v>3744.934934836725</v>
      </c>
      <c r="AI143" s="16">
        <f t="shared" ref="AI143:BN143" si="106">AVERAGE(AI126,AI140)</f>
        <v>3094.3416230512485</v>
      </c>
      <c r="AJ143" s="16">
        <f t="shared" si="106"/>
        <v>2645.7687949819101</v>
      </c>
      <c r="AK143" s="16">
        <f t="shared" si="106"/>
        <v>3092.3198197442134</v>
      </c>
      <c r="AL143" s="16">
        <f t="shared" si="106"/>
        <v>2739.876650822951</v>
      </c>
      <c r="AM143" s="16">
        <f t="shared" si="106"/>
        <v>3750.8527304934814</v>
      </c>
      <c r="AN143" s="16">
        <f t="shared" si="106"/>
        <v>2449.2040290347059</v>
      </c>
      <c r="AO143" s="16">
        <f t="shared" si="106"/>
        <v>2681.0976545968733</v>
      </c>
      <c r="AP143" s="16">
        <f t="shared" si="106"/>
        <v>2958.2561448286924</v>
      </c>
      <c r="AQ143" s="16">
        <f t="shared" si="106"/>
        <v>2910.744696750472</v>
      </c>
      <c r="AR143" s="16">
        <f t="shared" si="106"/>
        <v>3113.2839271657058</v>
      </c>
      <c r="AS143" s="16">
        <f t="shared" si="106"/>
        <v>3849.8779702282527</v>
      </c>
      <c r="AT143" s="16">
        <f t="shared" si="106"/>
        <v>3834.8783337339109</v>
      </c>
      <c r="AU143" s="16">
        <f t="shared" si="106"/>
        <v>2680.0396173299318</v>
      </c>
      <c r="AV143" s="16">
        <f t="shared" si="106"/>
        <v>2754.9524694254214</v>
      </c>
      <c r="AW143" s="16">
        <f t="shared" si="106"/>
        <v>2697.1746880914916</v>
      </c>
      <c r="AX143" s="16">
        <f t="shared" si="106"/>
        <v>3474.0227229399534</v>
      </c>
      <c r="AY143" s="16">
        <f t="shared" si="106"/>
        <v>3053.2983163363392</v>
      </c>
      <c r="AZ143" s="16">
        <f t="shared" si="106"/>
        <v>3657.2579137320581</v>
      </c>
      <c r="BA143" s="16">
        <f t="shared" si="106"/>
        <v>6049.7863503172857</v>
      </c>
      <c r="BB143" s="16">
        <f t="shared" si="106"/>
        <v>3088.5301235105662</v>
      </c>
      <c r="BC143" s="16">
        <f t="shared" si="106"/>
        <v>3178.9110313346878</v>
      </c>
      <c r="BD143" s="16">
        <f t="shared" si="106"/>
        <v>2472.9296237997178</v>
      </c>
      <c r="BE143" s="16">
        <f t="shared" si="106"/>
        <v>2574.4984768246336</v>
      </c>
      <c r="BF143" s="16">
        <f t="shared" si="106"/>
        <v>2569.9311602697849</v>
      </c>
      <c r="BG143" s="16">
        <f t="shared" si="106"/>
        <v>2721.0911042171574</v>
      </c>
      <c r="BH143" s="16">
        <f t="shared" si="106"/>
        <v>2319.0273771589109</v>
      </c>
      <c r="BI143" s="16">
        <f t="shared" si="106"/>
        <v>2066.3453839611866</v>
      </c>
      <c r="BJ143" s="16">
        <f t="shared" si="106"/>
        <v>2125.9757085698429</v>
      </c>
      <c r="BK143" s="16">
        <f t="shared" si="106"/>
        <v>2608.3710937125534</v>
      </c>
      <c r="BL143" s="16">
        <f t="shared" si="106"/>
        <v>2369.8576311067854</v>
      </c>
      <c r="BM143" s="16">
        <f t="shared" si="106"/>
        <v>2103.2633394623608</v>
      </c>
      <c r="BN143" s="16">
        <f t="shared" si="106"/>
        <v>2795.6462921126918</v>
      </c>
      <c r="BO143" s="16">
        <f t="shared" ref="BO143:CB143" si="107">AVERAGE(BO126,BO140)</f>
        <v>3004.2420907652463</v>
      </c>
      <c r="BP143" s="16">
        <f t="shared" si="107"/>
        <v>2963.1592900694695</v>
      </c>
      <c r="BQ143" s="16">
        <f t="shared" si="107"/>
        <v>2900.4212421790753</v>
      </c>
      <c r="BR143" s="16">
        <f t="shared" si="107"/>
        <v>2776.021188040379</v>
      </c>
      <c r="BS143" s="16">
        <f t="shared" si="107"/>
        <v>2535.8826423131386</v>
      </c>
      <c r="BT143" s="16">
        <f t="shared" si="107"/>
        <v>3789.3595006690612</v>
      </c>
      <c r="BU143" s="16">
        <f t="shared" si="107"/>
        <v>4316.0288063911667</v>
      </c>
      <c r="BV143" s="16">
        <f t="shared" si="107"/>
        <v>3678.250482590598</v>
      </c>
      <c r="BW143" s="16">
        <f t="shared" si="107"/>
        <v>2661.3669820618206</v>
      </c>
      <c r="BX143" s="16">
        <f t="shared" si="107"/>
        <v>2935.1567032214271</v>
      </c>
      <c r="BY143" s="16">
        <f t="shared" si="107"/>
        <v>3330.4800812341177</v>
      </c>
      <c r="BZ143" s="16">
        <f t="shared" si="107"/>
        <v>3395.9928411150809</v>
      </c>
      <c r="CA143" s="16">
        <f t="shared" si="107"/>
        <v>2912.4463329147984</v>
      </c>
      <c r="CB143" s="16">
        <f t="shared" si="107"/>
        <v>3881.3252895667674</v>
      </c>
      <c r="CC143" s="27"/>
      <c r="CD143" s="27"/>
    </row>
    <row r="144" spans="1:82" s="6" customFormat="1" x14ac:dyDescent="0.2">
      <c r="A144" s="53"/>
      <c r="B144" s="53" t="s">
        <v>157</v>
      </c>
      <c r="C144" s="66">
        <v>1</v>
      </c>
      <c r="D144" s="66">
        <f>D143*$C144/$C143</f>
        <v>1.106424685005841</v>
      </c>
      <c r="E144" s="66">
        <f t="shared" ref="E144:BP144" si="108">E143*$C144/$C143</f>
        <v>0.80986362969109826</v>
      </c>
      <c r="F144" s="66">
        <f t="shared" si="108"/>
        <v>0.78125408877529812</v>
      </c>
      <c r="G144" s="66">
        <f t="shared" si="108"/>
        <v>0.7379530379789071</v>
      </c>
      <c r="H144" s="66">
        <f t="shared" si="108"/>
        <v>1.6893178627583125</v>
      </c>
      <c r="I144" s="66">
        <f t="shared" si="108"/>
        <v>0.99155717814414335</v>
      </c>
      <c r="J144" s="66">
        <f t="shared" si="108"/>
        <v>0.97643407279203909</v>
      </c>
      <c r="K144" s="66">
        <f t="shared" si="108"/>
        <v>0.99876606303257498</v>
      </c>
      <c r="L144" s="66">
        <f t="shared" si="108"/>
        <v>1.2393838395368291</v>
      </c>
      <c r="M144" s="66">
        <f t="shared" si="108"/>
        <v>0.91750324003941608</v>
      </c>
      <c r="N144" s="66">
        <f t="shared" si="108"/>
        <v>0.87088153739158392</v>
      </c>
      <c r="O144" s="66">
        <f t="shared" si="108"/>
        <v>1.0149126792241701</v>
      </c>
      <c r="P144" s="66">
        <f t="shared" si="108"/>
        <v>0.8062905672484626</v>
      </c>
      <c r="Q144" s="66">
        <f t="shared" si="108"/>
        <v>1.2264054091852901</v>
      </c>
      <c r="R144" s="66">
        <f t="shared" si="108"/>
        <v>0.8706171854759891</v>
      </c>
      <c r="S144" s="66">
        <f t="shared" si="108"/>
        <v>0.78011566471913862</v>
      </c>
      <c r="T144" s="66">
        <f t="shared" si="108"/>
        <v>1.1696538373973508</v>
      </c>
      <c r="U144" s="66">
        <f t="shared" si="108"/>
        <v>1.1359980147006199</v>
      </c>
      <c r="V144" s="66">
        <f t="shared" si="108"/>
        <v>1.5702583212052628</v>
      </c>
      <c r="W144" s="66">
        <f t="shared" si="108"/>
        <v>1.0299793772107</v>
      </c>
      <c r="X144" s="66">
        <f t="shared" si="108"/>
        <v>1.1211449311188078</v>
      </c>
      <c r="Y144" s="66">
        <f t="shared" si="108"/>
        <v>0.90994899183202993</v>
      </c>
      <c r="Z144" s="66">
        <f t="shared" si="108"/>
        <v>0.85804082999158637</v>
      </c>
      <c r="AA144" s="66">
        <f t="shared" si="108"/>
        <v>0.95873510246148919</v>
      </c>
      <c r="AB144" s="66">
        <f t="shared" si="108"/>
        <v>0.7918745263017205</v>
      </c>
      <c r="AC144" s="66">
        <f t="shared" si="108"/>
        <v>0.9304686776432205</v>
      </c>
      <c r="AD144" s="66">
        <f t="shared" si="108"/>
        <v>0.83188855113585025</v>
      </c>
      <c r="AE144" s="66">
        <f t="shared" si="108"/>
        <v>1.2060165740974269</v>
      </c>
      <c r="AF144" s="66">
        <f t="shared" si="108"/>
        <v>0.79934752994691693</v>
      </c>
      <c r="AG144" s="66">
        <f t="shared" si="108"/>
        <v>0.82007653420158455</v>
      </c>
      <c r="AH144" s="66">
        <f t="shared" si="108"/>
        <v>1.0714012351250262</v>
      </c>
      <c r="AI144" s="66">
        <f t="shared" si="108"/>
        <v>0.8852707709274068</v>
      </c>
      <c r="AJ144" s="66">
        <f t="shared" si="108"/>
        <v>0.75693703739140117</v>
      </c>
      <c r="AK144" s="66">
        <f t="shared" si="108"/>
        <v>0.88469234630908122</v>
      </c>
      <c r="AL144" s="66">
        <f t="shared" si="108"/>
        <v>0.78386067551529159</v>
      </c>
      <c r="AM144" s="66">
        <f t="shared" si="108"/>
        <v>1.0730942775105923</v>
      </c>
      <c r="AN144" s="66">
        <f t="shared" si="108"/>
        <v>0.70070115167311475</v>
      </c>
      <c r="AO144" s="66">
        <f t="shared" si="108"/>
        <v>0.76704439158731075</v>
      </c>
      <c r="AP144" s="66">
        <f t="shared" si="108"/>
        <v>0.84633761134326491</v>
      </c>
      <c r="AQ144" s="66">
        <f t="shared" si="108"/>
        <v>0.83274489877566904</v>
      </c>
      <c r="AR144" s="66">
        <f t="shared" si="108"/>
        <v>0.89069003945342418</v>
      </c>
      <c r="AS144" s="66">
        <f t="shared" si="108"/>
        <v>1.1014247467995097</v>
      </c>
      <c r="AT144" s="66">
        <f t="shared" si="108"/>
        <v>1.0971334495283691</v>
      </c>
      <c r="AU144" s="66">
        <f t="shared" si="108"/>
        <v>0.76674169408940107</v>
      </c>
      <c r="AV144" s="66">
        <f t="shared" si="108"/>
        <v>0.7881737679861256</v>
      </c>
      <c r="AW144" s="66">
        <f t="shared" si="108"/>
        <v>0.77164392504863943</v>
      </c>
      <c r="AX144" s="66">
        <f t="shared" si="108"/>
        <v>0.9938950344867743</v>
      </c>
      <c r="AY144" s="66">
        <f t="shared" si="108"/>
        <v>0.87352855102956328</v>
      </c>
      <c r="AZ144" s="66">
        <f t="shared" si="108"/>
        <v>1.0463174164904792</v>
      </c>
      <c r="BA144" s="66">
        <f t="shared" si="108"/>
        <v>1.7308040542111744</v>
      </c>
      <c r="BB144" s="66">
        <f t="shared" si="108"/>
        <v>0.88360813916099223</v>
      </c>
      <c r="BC144" s="66">
        <f t="shared" si="108"/>
        <v>0.9094655219885811</v>
      </c>
      <c r="BD144" s="66">
        <f t="shared" si="108"/>
        <v>0.70748888816990863</v>
      </c>
      <c r="BE144" s="66">
        <f t="shared" si="108"/>
        <v>0.73654706847868656</v>
      </c>
      <c r="BF144" s="66">
        <f t="shared" si="108"/>
        <v>0.73524038927511715</v>
      </c>
      <c r="BG144" s="66">
        <f t="shared" si="108"/>
        <v>0.77848625428070117</v>
      </c>
      <c r="BH144" s="66">
        <f t="shared" si="108"/>
        <v>0.66345846841398681</v>
      </c>
      <c r="BI144" s="66">
        <f t="shared" si="108"/>
        <v>0.59116781335145807</v>
      </c>
      <c r="BJ144" s="66">
        <f t="shared" si="108"/>
        <v>0.60822765672612167</v>
      </c>
      <c r="BK144" s="66">
        <f t="shared" si="108"/>
        <v>0.74623780121560024</v>
      </c>
      <c r="BL144" s="66">
        <f t="shared" si="108"/>
        <v>0.67800066949600524</v>
      </c>
      <c r="BM144" s="66">
        <f t="shared" si="108"/>
        <v>0.60172979742074151</v>
      </c>
      <c r="BN144" s="66">
        <f t="shared" si="108"/>
        <v>0.79981600280401866</v>
      </c>
      <c r="BO144" s="66">
        <f t="shared" si="108"/>
        <v>0.8594938877892172</v>
      </c>
      <c r="BP144" s="66">
        <f t="shared" si="108"/>
        <v>0.84774036892340299</v>
      </c>
      <c r="BQ144" s="66">
        <f t="shared" ref="BQ144:CB144" si="109">BQ143*$C144/$C143</f>
        <v>0.8297914263733418</v>
      </c>
      <c r="BR144" s="66">
        <f t="shared" si="109"/>
        <v>0.79420138970435217</v>
      </c>
      <c r="BS144" s="66">
        <f t="shared" si="109"/>
        <v>0.72549933240024833</v>
      </c>
      <c r="BT144" s="66">
        <f t="shared" si="109"/>
        <v>1.0841108110004032</v>
      </c>
      <c r="BU144" s="66">
        <f t="shared" si="109"/>
        <v>1.2347874327499626</v>
      </c>
      <c r="BV144" s="66">
        <f t="shared" si="109"/>
        <v>1.052323252264624</v>
      </c>
      <c r="BW144" s="66">
        <f t="shared" si="109"/>
        <v>0.76139957604532194</v>
      </c>
      <c r="BX144" s="66">
        <f t="shared" si="109"/>
        <v>0.83972901314346693</v>
      </c>
      <c r="BY144" s="66">
        <f t="shared" si="109"/>
        <v>0.95282842951425117</v>
      </c>
      <c r="BZ144" s="66">
        <f t="shared" si="109"/>
        <v>0.97157119890123744</v>
      </c>
      <c r="CA144" s="66">
        <f t="shared" si="109"/>
        <v>0.83323172568185455</v>
      </c>
      <c r="CB144" s="66">
        <f t="shared" si="109"/>
        <v>1.1104216178712163</v>
      </c>
      <c r="CC144" s="53"/>
      <c r="CD144" s="53"/>
    </row>
    <row r="145" spans="1:82" s="6" customFormat="1" x14ac:dyDescent="0.2">
      <c r="A145" s="53"/>
      <c r="B145" s="53"/>
      <c r="CC145" s="53"/>
      <c r="CD145" s="53"/>
    </row>
    <row r="146" spans="1:82" x14ac:dyDescent="0.2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</row>
    <row r="147" spans="1:82" s="57" customFormat="1" ht="15.75" x14ac:dyDescent="0.25">
      <c r="A147" s="22" t="s">
        <v>109</v>
      </c>
      <c r="B147" s="22" t="s">
        <v>108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22"/>
      <c r="CD147" s="22"/>
    </row>
    <row r="148" spans="1:82" x14ac:dyDescent="0.2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</row>
    <row r="149" spans="1:82" x14ac:dyDescent="0.2">
      <c r="B149" s="3" t="s">
        <v>110</v>
      </c>
      <c r="C149" s="10">
        <v>0.96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D149" s="3" t="s">
        <v>119</v>
      </c>
    </row>
    <row r="150" spans="1:82" x14ac:dyDescent="0.2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</row>
    <row r="151" spans="1:82" s="32" customFormat="1" x14ac:dyDescent="0.2">
      <c r="B151" s="159" t="s">
        <v>111</v>
      </c>
      <c r="C151" s="160">
        <f>SUM(D151:CB151)</f>
        <v>122317300</v>
      </c>
      <c r="D151" s="160">
        <f>ROUND(IF(D143&lt;$C143*$C149,($C143*$C149-D143)*D138,0),-2)</f>
        <v>0</v>
      </c>
      <c r="E151" s="160">
        <f>ROUND(IF(E143&lt;$C143*$C149,($C143*$C149-E143)*E138,0),-2)</f>
        <v>5085700</v>
      </c>
      <c r="F151" s="160">
        <f t="shared" ref="F151:BQ151" si="110">ROUND(IF(F143&lt;$C143*$C149,($C143*$C149-F143)*F138,0),-2)</f>
        <v>852800</v>
      </c>
      <c r="G151" s="160">
        <f t="shared" si="110"/>
        <v>931400</v>
      </c>
      <c r="H151" s="160">
        <f t="shared" si="110"/>
        <v>0</v>
      </c>
      <c r="I151" s="160">
        <f t="shared" si="110"/>
        <v>0</v>
      </c>
      <c r="J151" s="160">
        <f t="shared" si="110"/>
        <v>0</v>
      </c>
      <c r="K151" s="160">
        <f t="shared" si="110"/>
        <v>0</v>
      </c>
      <c r="L151" s="160">
        <f t="shared" si="110"/>
        <v>0</v>
      </c>
      <c r="M151" s="160">
        <f t="shared" si="110"/>
        <v>159400</v>
      </c>
      <c r="N151" s="160">
        <f t="shared" si="110"/>
        <v>710200</v>
      </c>
      <c r="O151" s="160">
        <f t="shared" si="110"/>
        <v>0</v>
      </c>
      <c r="P151" s="160">
        <f t="shared" si="110"/>
        <v>5072400</v>
      </c>
      <c r="Q151" s="160">
        <f t="shared" si="110"/>
        <v>0</v>
      </c>
      <c r="R151" s="160">
        <f t="shared" si="110"/>
        <v>1068200</v>
      </c>
      <c r="S151" s="160">
        <f t="shared" si="110"/>
        <v>3703400</v>
      </c>
      <c r="T151" s="160">
        <f t="shared" si="110"/>
        <v>0</v>
      </c>
      <c r="U151" s="160">
        <f t="shared" si="110"/>
        <v>0</v>
      </c>
      <c r="V151" s="160">
        <f t="shared" si="110"/>
        <v>0</v>
      </c>
      <c r="W151" s="160">
        <f t="shared" si="110"/>
        <v>0</v>
      </c>
      <c r="X151" s="160">
        <f t="shared" si="110"/>
        <v>0</v>
      </c>
      <c r="Y151" s="160">
        <f t="shared" si="110"/>
        <v>786200</v>
      </c>
      <c r="Z151" s="160">
        <f t="shared" si="110"/>
        <v>750200</v>
      </c>
      <c r="AA151" s="160">
        <f t="shared" si="110"/>
        <v>51900</v>
      </c>
      <c r="AB151" s="160">
        <f t="shared" si="110"/>
        <v>902100</v>
      </c>
      <c r="AC151" s="160">
        <f t="shared" si="110"/>
        <v>916500</v>
      </c>
      <c r="AD151" s="160">
        <f t="shared" si="110"/>
        <v>1074300</v>
      </c>
      <c r="AE151" s="160">
        <f t="shared" si="110"/>
        <v>0</v>
      </c>
      <c r="AF151" s="160">
        <f t="shared" si="110"/>
        <v>1949100</v>
      </c>
      <c r="AG151" s="160">
        <f t="shared" si="110"/>
        <v>3456800</v>
      </c>
      <c r="AH151" s="160">
        <f t="shared" si="110"/>
        <v>0</v>
      </c>
      <c r="AI151" s="160">
        <f t="shared" si="110"/>
        <v>1333200</v>
      </c>
      <c r="AJ151" s="160">
        <f t="shared" si="110"/>
        <v>3759700</v>
      </c>
      <c r="AK151" s="160">
        <f t="shared" si="110"/>
        <v>1614400</v>
      </c>
      <c r="AL151" s="160">
        <f t="shared" si="110"/>
        <v>2965700</v>
      </c>
      <c r="AM151" s="160">
        <f t="shared" si="110"/>
        <v>0</v>
      </c>
      <c r="AN151" s="160">
        <f t="shared" si="110"/>
        <v>1418400</v>
      </c>
      <c r="AO151" s="160">
        <f t="shared" si="110"/>
        <v>5815800</v>
      </c>
      <c r="AP151" s="160">
        <f t="shared" si="110"/>
        <v>1930000</v>
      </c>
      <c r="AQ151" s="160">
        <f t="shared" si="110"/>
        <v>2526000</v>
      </c>
      <c r="AR151" s="160">
        <f t="shared" si="110"/>
        <v>711500</v>
      </c>
      <c r="AS151" s="160">
        <f t="shared" si="110"/>
        <v>0</v>
      </c>
      <c r="AT151" s="160">
        <f t="shared" si="110"/>
        <v>0</v>
      </c>
      <c r="AU151" s="160">
        <f t="shared" si="110"/>
        <v>2579800</v>
      </c>
      <c r="AV151" s="160">
        <f t="shared" si="110"/>
        <v>1816800</v>
      </c>
      <c r="AW151" s="160">
        <f t="shared" si="110"/>
        <v>3185900</v>
      </c>
      <c r="AX151" s="160">
        <f t="shared" si="110"/>
        <v>0</v>
      </c>
      <c r="AY151" s="160">
        <f t="shared" si="110"/>
        <v>1939500</v>
      </c>
      <c r="AZ151" s="160">
        <f t="shared" si="110"/>
        <v>0</v>
      </c>
      <c r="BA151" s="160">
        <f t="shared" si="110"/>
        <v>0</v>
      </c>
      <c r="BB151" s="160">
        <f t="shared" si="110"/>
        <v>2564700</v>
      </c>
      <c r="BC151" s="160">
        <f t="shared" si="110"/>
        <v>463800</v>
      </c>
      <c r="BD151" s="160">
        <f t="shared" si="110"/>
        <v>3158000</v>
      </c>
      <c r="BE151" s="160">
        <f t="shared" si="110"/>
        <v>3929500</v>
      </c>
      <c r="BF151" s="160">
        <f t="shared" si="110"/>
        <v>6866300</v>
      </c>
      <c r="BG151" s="160">
        <f t="shared" si="110"/>
        <v>1185800</v>
      </c>
      <c r="BH151" s="160">
        <f t="shared" si="110"/>
        <v>1307100</v>
      </c>
      <c r="BI151" s="160">
        <f t="shared" si="110"/>
        <v>5201900</v>
      </c>
      <c r="BJ151" s="160">
        <f t="shared" si="110"/>
        <v>1114000</v>
      </c>
      <c r="BK151" s="160">
        <f t="shared" si="110"/>
        <v>3643200</v>
      </c>
      <c r="BL151" s="160">
        <f t="shared" si="110"/>
        <v>1553400</v>
      </c>
      <c r="BM151" s="160">
        <f t="shared" si="110"/>
        <v>3607800</v>
      </c>
      <c r="BN151" s="160">
        <f t="shared" si="110"/>
        <v>5080000</v>
      </c>
      <c r="BO151" s="160">
        <f t="shared" si="110"/>
        <v>1325800</v>
      </c>
      <c r="BP151" s="160">
        <f t="shared" si="110"/>
        <v>2516400</v>
      </c>
      <c r="BQ151" s="160">
        <f t="shared" si="110"/>
        <v>5867500</v>
      </c>
      <c r="BR151" s="160">
        <f t="shared" ref="BR151:CB151" si="111">ROUND(IF(BR143&lt;$C143*$C149,($C143*$C149-BR143)*BR138,0),-2)</f>
        <v>6098400</v>
      </c>
      <c r="BS151" s="160">
        <f t="shared" si="111"/>
        <v>3385200</v>
      </c>
      <c r="BT151" s="160">
        <f t="shared" si="111"/>
        <v>0</v>
      </c>
      <c r="BU151" s="160">
        <f t="shared" si="111"/>
        <v>0</v>
      </c>
      <c r="BV151" s="160">
        <f t="shared" si="111"/>
        <v>0</v>
      </c>
      <c r="BW151" s="160">
        <f t="shared" si="111"/>
        <v>1051000</v>
      </c>
      <c r="BX151" s="160">
        <f t="shared" si="111"/>
        <v>1323800</v>
      </c>
      <c r="BY151" s="160">
        <f t="shared" si="111"/>
        <v>455500</v>
      </c>
      <c r="BZ151" s="160">
        <f t="shared" si="111"/>
        <v>0</v>
      </c>
      <c r="CA151" s="160">
        <f t="shared" si="111"/>
        <v>1550900</v>
      </c>
      <c r="CB151" s="160">
        <f t="shared" si="111"/>
        <v>0</v>
      </c>
    </row>
    <row r="152" spans="1:82" x14ac:dyDescent="0.2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</row>
    <row r="153" spans="1:82" x14ac:dyDescent="0.2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</row>
    <row r="154" spans="1:82" x14ac:dyDescent="0.2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</row>
    <row r="155" spans="1:82" x14ac:dyDescent="0.2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</row>
    <row r="156" spans="1:82" x14ac:dyDescent="0.2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</row>
    <row r="157" spans="1:82" x14ac:dyDescent="0.2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</row>
    <row r="158" spans="1:82" x14ac:dyDescent="0.2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</row>
    <row r="159" spans="1:82" x14ac:dyDescent="0.2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</row>
    <row r="160" spans="1:82" x14ac:dyDescent="0.2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</row>
    <row r="161" spans="3:80" x14ac:dyDescent="0.2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</row>
    <row r="162" spans="3:80" x14ac:dyDescent="0.2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</row>
    <row r="163" spans="3:80" x14ac:dyDescent="0.2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</row>
    <row r="164" spans="3:80" x14ac:dyDescent="0.2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</row>
    <row r="165" spans="3:80" x14ac:dyDescent="0.2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</row>
    <row r="166" spans="3:80" x14ac:dyDescent="0.2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</row>
    <row r="167" spans="3:80" x14ac:dyDescent="0.2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</row>
    <row r="168" spans="3:80" x14ac:dyDescent="0.2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</row>
    <row r="169" spans="3:80" x14ac:dyDescent="0.2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</row>
    <row r="170" spans="3:80" x14ac:dyDescent="0.2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</row>
    <row r="171" spans="3:80" x14ac:dyDescent="0.2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</row>
    <row r="172" spans="3:80" x14ac:dyDescent="0.2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</row>
    <row r="173" spans="3:80" x14ac:dyDescent="0.2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</row>
    <row r="174" spans="3:80" x14ac:dyDescent="0.2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</row>
    <row r="175" spans="3:80" x14ac:dyDescent="0.2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</row>
    <row r="176" spans="3:80" x14ac:dyDescent="0.2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D102"/>
  <sheetViews>
    <sheetView zoomScale="90" zoomScaleNormal="90" workbookViewId="0">
      <pane xSplit="3" ySplit="9" topLeftCell="D10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" style="3" customWidth="1"/>
    <col min="2" max="2" width="52.42578125" style="3" customWidth="1"/>
    <col min="3" max="80" width="21" style="3" customWidth="1"/>
    <col min="81" max="81" width="2.140625" style="3" customWidth="1"/>
    <col min="82" max="82" width="20.7109375" style="3" bestFit="1" customWidth="1"/>
    <col min="83" max="16384" width="11.42578125" style="38"/>
  </cols>
  <sheetData>
    <row r="1" spans="1:82" x14ac:dyDescent="0.2">
      <c r="A1" s="83" t="s">
        <v>217</v>
      </c>
      <c r="B1"/>
      <c r="C1"/>
    </row>
    <row r="2" spans="1:82" x14ac:dyDescent="0.2">
      <c r="A2" t="s">
        <v>218</v>
      </c>
      <c r="B2"/>
      <c r="C2"/>
    </row>
    <row r="3" spans="1:82" x14ac:dyDescent="0.2">
      <c r="A3"/>
      <c r="B3"/>
      <c r="C3"/>
    </row>
    <row r="4" spans="1:82" x14ac:dyDescent="0.2">
      <c r="A4"/>
      <c r="B4"/>
      <c r="C4"/>
    </row>
    <row r="5" spans="1:82" ht="26.25" x14ac:dyDescent="0.4">
      <c r="A5" s="18" t="s">
        <v>177</v>
      </c>
      <c r="D5" s="158"/>
      <c r="E5" s="104"/>
      <c r="F5" s="104"/>
      <c r="G5" s="104"/>
      <c r="H5" s="104"/>
      <c r="I5" s="104"/>
    </row>
    <row r="6" spans="1:82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2" x14ac:dyDescent="0.2">
      <c r="B7" s="20" t="s">
        <v>113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2" s="32" customFormat="1" x14ac:dyDescent="0.2">
      <c r="A8" s="21"/>
      <c r="B8" s="21"/>
      <c r="C8" s="21" t="s">
        <v>82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21" t="s">
        <v>61</v>
      </c>
      <c r="BI8" s="21" t="s">
        <v>62</v>
      </c>
      <c r="BJ8" s="21" t="s">
        <v>63</v>
      </c>
      <c r="BK8" s="21" t="s">
        <v>64</v>
      </c>
      <c r="BL8" s="21" t="s">
        <v>65</v>
      </c>
      <c r="BM8" s="21" t="s">
        <v>66</v>
      </c>
      <c r="BN8" s="21" t="s">
        <v>67</v>
      </c>
      <c r="BO8" s="21" t="s">
        <v>68</v>
      </c>
      <c r="BP8" s="21" t="s">
        <v>69</v>
      </c>
      <c r="BQ8" s="21" t="s">
        <v>70</v>
      </c>
      <c r="BR8" s="21" t="s">
        <v>71</v>
      </c>
      <c r="BS8" s="21" t="s">
        <v>72</v>
      </c>
      <c r="BT8" s="21" t="s">
        <v>73</v>
      </c>
      <c r="BU8" s="21" t="s">
        <v>74</v>
      </c>
      <c r="BV8" s="21" t="s">
        <v>75</v>
      </c>
      <c r="BW8" s="21" t="s">
        <v>76</v>
      </c>
      <c r="BX8" s="21" t="s">
        <v>77</v>
      </c>
      <c r="BY8" s="21" t="s">
        <v>78</v>
      </c>
      <c r="BZ8" s="21" t="s">
        <v>79</v>
      </c>
      <c r="CA8" s="21" t="s">
        <v>80</v>
      </c>
      <c r="CB8" s="21" t="s">
        <v>81</v>
      </c>
      <c r="CC8" s="21"/>
      <c r="CD8" s="21" t="s">
        <v>114</v>
      </c>
    </row>
    <row r="10" spans="1:82" s="56" customFormat="1" ht="15.75" x14ac:dyDescent="0.25">
      <c r="A10" s="22" t="s">
        <v>102</v>
      </c>
      <c r="B10" s="23" t="s">
        <v>129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x14ac:dyDescent="0.2">
      <c r="B11" s="24"/>
      <c r="C11" s="24"/>
    </row>
    <row r="12" spans="1:82" x14ac:dyDescent="0.2">
      <c r="A12" s="38"/>
      <c r="B12" s="59" t="str">
        <f>'Ressourcenausgleich Basis'!B124</f>
        <v>Einwohnerzahl per 31.12.</v>
      </c>
      <c r="C12" s="60">
        <f>'Ressourcenausgleich Basis'!C124</f>
        <v>510734</v>
      </c>
      <c r="D12" s="60">
        <f>'Ressourcenausgleich Basis'!D124</f>
        <v>76090</v>
      </c>
      <c r="E12" s="60">
        <f>'Ressourcenausgleich Basis'!E124</f>
        <v>9706</v>
      </c>
      <c r="F12" s="60">
        <f>'Ressourcenausgleich Basis'!F124</f>
        <v>1390</v>
      </c>
      <c r="G12" s="60">
        <f>'Ressourcenausgleich Basis'!G124</f>
        <v>1220</v>
      </c>
      <c r="H12" s="60">
        <f>'Ressourcenausgleich Basis'!H124</f>
        <v>3658</v>
      </c>
      <c r="I12" s="60">
        <f>'Ressourcenausgleich Basis'!I124</f>
        <v>9504</v>
      </c>
      <c r="J12" s="60">
        <f>'Ressourcenausgleich Basis'!J124</f>
        <v>3608</v>
      </c>
      <c r="K12" s="60">
        <f>'Ressourcenausgleich Basis'!K124</f>
        <v>851</v>
      </c>
      <c r="L12" s="60">
        <f>'Ressourcenausgleich Basis'!L124</f>
        <v>1438</v>
      </c>
      <c r="M12" s="60">
        <f>'Ressourcenausgleich Basis'!M124</f>
        <v>1046</v>
      </c>
      <c r="N12" s="60">
        <f>'Ressourcenausgleich Basis'!N124</f>
        <v>2339</v>
      </c>
      <c r="O12" s="60">
        <f>'Ressourcenausgleich Basis'!O124</f>
        <v>7382</v>
      </c>
      <c r="P12" s="60">
        <f>'Ressourcenausgleich Basis'!P124</f>
        <v>9438</v>
      </c>
      <c r="Q12" s="60">
        <f>'Ressourcenausgleich Basis'!Q124</f>
        <v>6565</v>
      </c>
      <c r="R12" s="60">
        <f>'Ressourcenausgleich Basis'!R124</f>
        <v>3398</v>
      </c>
      <c r="S12" s="60">
        <f>'Ressourcenausgleich Basis'!S124</f>
        <v>5960</v>
      </c>
      <c r="T12" s="60">
        <f>'Ressourcenausgleich Basis'!T124</f>
        <v>7809</v>
      </c>
      <c r="U12" s="60">
        <f>'Ressourcenausgleich Basis'!U124</f>
        <v>3936</v>
      </c>
      <c r="V12" s="60">
        <f>'Ressourcenausgleich Basis'!V124</f>
        <v>4891</v>
      </c>
      <c r="W12" s="60">
        <f>'Ressourcenausgleich Basis'!W124</f>
        <v>6465</v>
      </c>
      <c r="X12" s="60">
        <f>'Ressourcenausgleich Basis'!X124</f>
        <v>9756</v>
      </c>
      <c r="Y12" s="60">
        <f>'Ressourcenausgleich Basis'!Y124</f>
        <v>4533</v>
      </c>
      <c r="Z12" s="60">
        <f>'Ressourcenausgleich Basis'!Z124</f>
        <v>2110</v>
      </c>
      <c r="AA12" s="60">
        <f>'Ressourcenausgleich Basis'!AA124</f>
        <v>11877</v>
      </c>
      <c r="AB12" s="60">
        <f>'Ressourcenausgleich Basis'!AB124</f>
        <v>1520</v>
      </c>
      <c r="AC12" s="60">
        <f>'Ressourcenausgleich Basis'!AC124</f>
        <v>8979</v>
      </c>
      <c r="AD12" s="60">
        <f>'Ressourcenausgleich Basis'!AD124</f>
        <v>2412</v>
      </c>
      <c r="AE12" s="60">
        <f>'Ressourcenausgleich Basis'!AE124</f>
        <v>5665</v>
      </c>
      <c r="AF12" s="60">
        <f>'Ressourcenausgleich Basis'!AF124</f>
        <v>3550</v>
      </c>
      <c r="AG12" s="60">
        <f>'Ressourcenausgleich Basis'!AG124</f>
        <v>7147</v>
      </c>
      <c r="AH12" s="60">
        <f>'Ressourcenausgleich Basis'!AH124</f>
        <v>12861</v>
      </c>
      <c r="AI12" s="60">
        <f>'Ressourcenausgleich Basis'!AI124</f>
        <v>5112</v>
      </c>
      <c r="AJ12" s="60">
        <f>'Ressourcenausgleich Basis'!AJ124</f>
        <v>5295</v>
      </c>
      <c r="AK12" s="60">
        <f>'Ressourcenausgleich Basis'!AK124</f>
        <v>6200</v>
      </c>
      <c r="AL12" s="60">
        <f>'Ressourcenausgleich Basis'!AL124</f>
        <v>4884</v>
      </c>
      <c r="AM12" s="60">
        <f>'Ressourcenausgleich Basis'!AM124</f>
        <v>6264</v>
      </c>
      <c r="AN12" s="60">
        <f>'Ressourcenausgleich Basis'!AN124</f>
        <v>1556</v>
      </c>
      <c r="AO12" s="60">
        <f>'Ressourcenausgleich Basis'!AO124</f>
        <v>8561</v>
      </c>
      <c r="AP12" s="60">
        <f>'Ressourcenausgleich Basis'!AP124</f>
        <v>4889</v>
      </c>
      <c r="AQ12" s="60">
        <f>'Ressourcenausgleich Basis'!AQ124</f>
        <v>5705</v>
      </c>
      <c r="AR12" s="60">
        <f>'Ressourcenausgleich Basis'!AR124</f>
        <v>2949</v>
      </c>
      <c r="AS12" s="60">
        <f>'Ressourcenausgleich Basis'!AS124</f>
        <v>1823</v>
      </c>
      <c r="AT12" s="60">
        <f>'Ressourcenausgleich Basis'!AT124</f>
        <v>1717</v>
      </c>
      <c r="AU12" s="60">
        <f>'Ressourcenausgleich Basis'!AU124</f>
        <v>3876</v>
      </c>
      <c r="AV12" s="60">
        <f>'Ressourcenausgleich Basis'!AV124</f>
        <v>2982</v>
      </c>
      <c r="AW12" s="60">
        <f>'Ressourcenausgleich Basis'!AW124</f>
        <v>4924</v>
      </c>
      <c r="AX12" s="60">
        <f>'Ressourcenausgleich Basis'!AX124</f>
        <v>5218</v>
      </c>
      <c r="AY12" s="60">
        <f>'Ressourcenausgleich Basis'!AY124</f>
        <v>6489</v>
      </c>
      <c r="AZ12" s="60">
        <f>'Ressourcenausgleich Basis'!AZ124</f>
        <v>3766</v>
      </c>
      <c r="BA12" s="60">
        <f>'Ressourcenausgleich Basis'!BA124</f>
        <v>27277</v>
      </c>
      <c r="BB12" s="60">
        <f>'Ressourcenausgleich Basis'!BB124</f>
        <v>9584</v>
      </c>
      <c r="BC12" s="60">
        <f>'Ressourcenausgleich Basis'!BC124</f>
        <v>2606</v>
      </c>
      <c r="BD12" s="60">
        <f>'Ressourcenausgleich Basis'!BD124</f>
        <v>3545</v>
      </c>
      <c r="BE12" s="60">
        <f>'Ressourcenausgleich Basis'!BE124</f>
        <v>5001</v>
      </c>
      <c r="BF12" s="60">
        <f>'Ressourcenausgleich Basis'!BF124</f>
        <v>8761</v>
      </c>
      <c r="BG12" s="60">
        <f>'Ressourcenausgleich Basis'!BG124</f>
        <v>1896</v>
      </c>
      <c r="BH12" s="60">
        <f>'Ressourcenausgleich Basis'!BH124</f>
        <v>1251</v>
      </c>
      <c r="BI12" s="60">
        <f>'Ressourcenausgleich Basis'!BI124</f>
        <v>4044</v>
      </c>
      <c r="BJ12" s="60">
        <f>'Ressourcenausgleich Basis'!BJ124</f>
        <v>902</v>
      </c>
      <c r="BK12" s="60">
        <f>'Ressourcenausgleich Basis'!BK124</f>
        <v>4987</v>
      </c>
      <c r="BL12" s="60">
        <f>'Ressourcenausgleich Basis'!BL124</f>
        <v>1606</v>
      </c>
      <c r="BM12" s="60">
        <f>'Ressourcenausgleich Basis'!BM124</f>
        <v>2847</v>
      </c>
      <c r="BN12" s="60">
        <f>'Ressourcenausgleich Basis'!BN124</f>
        <v>9100</v>
      </c>
      <c r="BO12" s="60">
        <f>'Ressourcenausgleich Basis'!BO124</f>
        <v>3834</v>
      </c>
      <c r="BP12" s="60">
        <f>'Ressourcenausgleich Basis'!BP124</f>
        <v>6403</v>
      </c>
      <c r="BQ12" s="60">
        <f>'Ressourcenausgleich Basis'!BQ124</f>
        <v>13129</v>
      </c>
      <c r="BR12" s="60">
        <f>'Ressourcenausgleich Basis'!BR124</f>
        <v>10425</v>
      </c>
      <c r="BS12" s="60">
        <f>'Ressourcenausgleich Basis'!BS124</f>
        <v>4121</v>
      </c>
      <c r="BT12" s="60">
        <f>'Ressourcenausgleich Basis'!BT124</f>
        <v>24159</v>
      </c>
      <c r="BU12" s="60">
        <f>'Ressourcenausgleich Basis'!BU124</f>
        <v>4792</v>
      </c>
      <c r="BV12" s="60">
        <f>'Ressourcenausgleich Basis'!BV124</f>
        <v>4542</v>
      </c>
      <c r="BW12" s="60">
        <f>'Ressourcenausgleich Basis'!BW124</f>
        <v>1505</v>
      </c>
      <c r="BX12" s="60">
        <f>'Ressourcenausgleich Basis'!BX124</f>
        <v>3136</v>
      </c>
      <c r="BY12" s="60">
        <f>'Ressourcenausgleich Basis'!BY124</f>
        <v>18108</v>
      </c>
      <c r="BZ12" s="60">
        <f>'Ressourcenausgleich Basis'!BZ124</f>
        <v>1999</v>
      </c>
      <c r="CA12" s="60">
        <f>'Ressourcenausgleich Basis'!CA124</f>
        <v>3533</v>
      </c>
      <c r="CB12" s="60">
        <f>'Ressourcenausgleich Basis'!CB124</f>
        <v>8327</v>
      </c>
      <c r="CC12" s="38"/>
      <c r="CD12" s="38"/>
    </row>
    <row r="13" spans="1:82" x14ac:dyDescent="0.2">
      <c r="A13" s="38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38"/>
      <c r="CD13" s="38"/>
    </row>
    <row r="14" spans="1:82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2" s="57" customFormat="1" ht="15.75" x14ac:dyDescent="0.25">
      <c r="A15" s="22" t="s">
        <v>103</v>
      </c>
      <c r="B15" s="22" t="s">
        <v>181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22"/>
      <c r="CD15" s="22"/>
    </row>
    <row r="16" spans="1:82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2" s="32" customFormat="1" x14ac:dyDescent="0.2">
      <c r="A17" s="63" t="s">
        <v>145</v>
      </c>
      <c r="B17" s="61" t="s">
        <v>182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1"/>
      <c r="CD17" s="61"/>
    </row>
    <row r="18" spans="1:82" x14ac:dyDescent="0.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2" s="32" customFormat="1" x14ac:dyDescent="0.2">
      <c r="A19" s="30"/>
      <c r="B19" s="30" t="s">
        <v>178</v>
      </c>
      <c r="C19" s="74">
        <f>SUM(D19:CB19)</f>
        <v>124924.09479999998</v>
      </c>
      <c r="D19" s="44">
        <v>10123.756000000001</v>
      </c>
      <c r="E19" s="44">
        <v>1314.8738000000003</v>
      </c>
      <c r="F19" s="44">
        <v>704.20600000000002</v>
      </c>
      <c r="G19" s="44">
        <v>855.36900000000003</v>
      </c>
      <c r="H19" s="44">
        <v>1012.1445999999999</v>
      </c>
      <c r="I19" s="44">
        <v>1225.6569999999999</v>
      </c>
      <c r="J19" s="44">
        <v>577.21100000000001</v>
      </c>
      <c r="K19" s="44">
        <v>284.541</v>
      </c>
      <c r="L19" s="44">
        <v>210.18600000000001</v>
      </c>
      <c r="M19" s="44">
        <v>519.98360000000002</v>
      </c>
      <c r="N19" s="44">
        <v>873.35140000000001</v>
      </c>
      <c r="O19" s="44">
        <v>1140.8600000000001</v>
      </c>
      <c r="P19" s="44">
        <v>1130.5289999999998</v>
      </c>
      <c r="Q19" s="44">
        <v>1427.17</v>
      </c>
      <c r="R19" s="44">
        <v>574.55299999999988</v>
      </c>
      <c r="S19" s="44">
        <v>1022.252</v>
      </c>
      <c r="T19" s="44">
        <v>1069.4770000000001</v>
      </c>
      <c r="U19" s="44">
        <v>848.51840000000004</v>
      </c>
      <c r="V19" s="44">
        <v>796.01100000000008</v>
      </c>
      <c r="W19" s="44">
        <v>1163.2860000000001</v>
      </c>
      <c r="X19" s="44">
        <v>1313.3150000000001</v>
      </c>
      <c r="Y19" s="44">
        <v>765.25</v>
      </c>
      <c r="Z19" s="44">
        <v>687.053</v>
      </c>
      <c r="AA19" s="44">
        <v>4062.2441999999996</v>
      </c>
      <c r="AB19" s="44">
        <v>600.97899999999993</v>
      </c>
      <c r="AC19" s="44">
        <v>3363.614399999999</v>
      </c>
      <c r="AD19" s="44">
        <v>877.57999999999993</v>
      </c>
      <c r="AE19" s="44">
        <v>1969.7059999999999</v>
      </c>
      <c r="AF19" s="44">
        <v>1312.857</v>
      </c>
      <c r="AG19" s="44">
        <v>2724.9912000000004</v>
      </c>
      <c r="AH19" s="44">
        <v>1663.6339999999998</v>
      </c>
      <c r="AI19" s="44">
        <v>1472.5620000000001</v>
      </c>
      <c r="AJ19" s="44">
        <v>1570.3473999999997</v>
      </c>
      <c r="AK19" s="44">
        <v>957.14899999999977</v>
      </c>
      <c r="AL19" s="44">
        <v>1427.9109999999998</v>
      </c>
      <c r="AM19" s="44">
        <v>1156.7901999999999</v>
      </c>
      <c r="AN19" s="44">
        <v>1859.6064000000001</v>
      </c>
      <c r="AO19" s="44">
        <v>3101.0792000000001</v>
      </c>
      <c r="AP19" s="44">
        <v>2045.4407999999999</v>
      </c>
      <c r="AQ19" s="44">
        <v>1308.1969999999999</v>
      </c>
      <c r="AR19" s="44">
        <v>959.18500000000017</v>
      </c>
      <c r="AS19" s="44">
        <v>1535.7234000000001</v>
      </c>
      <c r="AT19" s="44">
        <v>303.66700000000003</v>
      </c>
      <c r="AU19" s="44">
        <v>1270.2439999999999</v>
      </c>
      <c r="AV19" s="44">
        <v>954.83900000000006</v>
      </c>
      <c r="AW19" s="44">
        <v>983.18499999999995</v>
      </c>
      <c r="AX19" s="44">
        <v>1377.5416</v>
      </c>
      <c r="AY19" s="44">
        <v>881.68499999999995</v>
      </c>
      <c r="AZ19" s="44">
        <v>542.88499999999988</v>
      </c>
      <c r="BA19" s="44">
        <v>2672.384</v>
      </c>
      <c r="BB19" s="44">
        <v>3409.0288</v>
      </c>
      <c r="BC19" s="44">
        <v>2061.9035999999996</v>
      </c>
      <c r="BD19" s="44">
        <v>2640.871599999999</v>
      </c>
      <c r="BE19" s="44">
        <v>2411.8125999999997</v>
      </c>
      <c r="BF19" s="44">
        <v>3162.5535999999997</v>
      </c>
      <c r="BG19" s="44">
        <v>359.6078</v>
      </c>
      <c r="BH19" s="44">
        <v>893.70439999999996</v>
      </c>
      <c r="BI19" s="44">
        <v>2958.2659999999996</v>
      </c>
      <c r="BJ19" s="44">
        <v>1281.5839999999996</v>
      </c>
      <c r="BK19" s="44">
        <v>2054.8566000000001</v>
      </c>
      <c r="BL19" s="44">
        <v>925.45300000000009</v>
      </c>
      <c r="BM19" s="44">
        <v>2298.8009999999999</v>
      </c>
      <c r="BN19" s="44">
        <v>4020.7805999999996</v>
      </c>
      <c r="BO19" s="44">
        <v>1018.5984000000001</v>
      </c>
      <c r="BP19" s="44">
        <v>1278.7396000000001</v>
      </c>
      <c r="BQ19" s="44">
        <v>2404.7889999999998</v>
      </c>
      <c r="BR19" s="44">
        <v>1992.3982000000001</v>
      </c>
      <c r="BS19" s="44">
        <v>1542.7149999999997</v>
      </c>
      <c r="BT19" s="44">
        <v>3178.2663999999995</v>
      </c>
      <c r="BU19" s="44">
        <v>873.02</v>
      </c>
      <c r="BV19" s="44">
        <v>1707.2225999999996</v>
      </c>
      <c r="BW19" s="44">
        <v>846.54199999999992</v>
      </c>
      <c r="BX19" s="44">
        <v>1284.9269999999997</v>
      </c>
      <c r="BY19" s="44">
        <v>3082.4886000000001</v>
      </c>
      <c r="BZ19" s="44">
        <v>654.87300000000005</v>
      </c>
      <c r="CA19" s="44">
        <v>2371.0904000000005</v>
      </c>
      <c r="CB19" s="44">
        <v>1613.6194</v>
      </c>
      <c r="CD19" s="30" t="s">
        <v>198</v>
      </c>
    </row>
    <row r="20" spans="1:82" x14ac:dyDescent="0.2">
      <c r="B20" s="3" t="s">
        <v>185</v>
      </c>
      <c r="C20" s="5"/>
      <c r="D20" s="5">
        <f t="shared" ref="D20:AI20" si="0">D19/D12</f>
        <v>0.13304975686686821</v>
      </c>
      <c r="E20" s="5">
        <f t="shared" si="0"/>
        <v>0.13547020399752732</v>
      </c>
      <c r="F20" s="5">
        <f t="shared" si="0"/>
        <v>0.50662302158273387</v>
      </c>
      <c r="G20" s="5">
        <f t="shared" si="0"/>
        <v>0.70112213114754096</v>
      </c>
      <c r="H20" s="5">
        <f t="shared" si="0"/>
        <v>0.27669343903772547</v>
      </c>
      <c r="I20" s="5">
        <f t="shared" si="0"/>
        <v>0.12896222643097643</v>
      </c>
      <c r="J20" s="5">
        <f t="shared" si="0"/>
        <v>0.1599808758314856</v>
      </c>
      <c r="K20" s="5">
        <f t="shared" si="0"/>
        <v>0.33436075205640425</v>
      </c>
      <c r="L20" s="5">
        <f t="shared" si="0"/>
        <v>0.14616550764951322</v>
      </c>
      <c r="M20" s="5">
        <f t="shared" si="0"/>
        <v>0.49711625239005741</v>
      </c>
      <c r="N20" s="5">
        <f t="shared" si="0"/>
        <v>0.37338666096622491</v>
      </c>
      <c r="O20" s="5">
        <f t="shared" si="0"/>
        <v>0.15454619344351125</v>
      </c>
      <c r="P20" s="5">
        <f t="shared" si="0"/>
        <v>0.1197848061029879</v>
      </c>
      <c r="Q20" s="5">
        <f t="shared" si="0"/>
        <v>0.2173907083015994</v>
      </c>
      <c r="R20" s="5">
        <f t="shared" si="0"/>
        <v>0.16908563861094758</v>
      </c>
      <c r="S20" s="5">
        <f t="shared" si="0"/>
        <v>0.17151879194630873</v>
      </c>
      <c r="T20" s="5">
        <f t="shared" si="0"/>
        <v>0.13695441157638624</v>
      </c>
      <c r="U20" s="5">
        <f t="shared" si="0"/>
        <v>0.2155788617886179</v>
      </c>
      <c r="V20" s="5">
        <f t="shared" si="0"/>
        <v>0.16275015334287468</v>
      </c>
      <c r="W20" s="5">
        <f t="shared" si="0"/>
        <v>0.17993596287703018</v>
      </c>
      <c r="X20" s="5">
        <f t="shared" si="0"/>
        <v>0.13461613366133662</v>
      </c>
      <c r="Y20" s="5">
        <f t="shared" si="0"/>
        <v>0.16881756011471433</v>
      </c>
      <c r="Z20" s="5">
        <f t="shared" si="0"/>
        <v>0.32561753554502371</v>
      </c>
      <c r="AA20" s="5">
        <f t="shared" si="0"/>
        <v>0.34202611770649149</v>
      </c>
      <c r="AB20" s="5">
        <f t="shared" si="0"/>
        <v>0.39538092105263151</v>
      </c>
      <c r="AC20" s="5">
        <f t="shared" si="0"/>
        <v>0.37460902104911448</v>
      </c>
      <c r="AD20" s="5">
        <f t="shared" si="0"/>
        <v>0.36383913764510778</v>
      </c>
      <c r="AE20" s="5">
        <f t="shared" si="0"/>
        <v>0.34769744042365403</v>
      </c>
      <c r="AF20" s="5">
        <f t="shared" si="0"/>
        <v>0.36981887323943663</v>
      </c>
      <c r="AG20" s="5">
        <f t="shared" si="0"/>
        <v>0.38127762697635376</v>
      </c>
      <c r="AH20" s="5">
        <f t="shared" si="0"/>
        <v>0.12935494907083428</v>
      </c>
      <c r="AI20" s="5">
        <f t="shared" si="0"/>
        <v>0.2880598591549296</v>
      </c>
      <c r="AJ20" s="5">
        <f t="shared" ref="AJ20:BO20" si="1">AJ19/AJ12</f>
        <v>0.29657174693106697</v>
      </c>
      <c r="AK20" s="5">
        <f t="shared" si="1"/>
        <v>0.15437887096774189</v>
      </c>
      <c r="AL20" s="5">
        <f t="shared" si="1"/>
        <v>0.29236506961506958</v>
      </c>
      <c r="AM20" s="5">
        <f t="shared" si="1"/>
        <v>0.18467276500638569</v>
      </c>
      <c r="AN20" s="5">
        <f t="shared" si="1"/>
        <v>1.1951197943444731</v>
      </c>
      <c r="AO20" s="5">
        <f t="shared" si="1"/>
        <v>0.36223329050344588</v>
      </c>
      <c r="AP20" s="5">
        <f t="shared" si="1"/>
        <v>0.41837610963387195</v>
      </c>
      <c r="AQ20" s="5">
        <f t="shared" si="1"/>
        <v>0.22930709903593338</v>
      </c>
      <c r="AR20" s="5">
        <f t="shared" si="1"/>
        <v>0.32525771447948465</v>
      </c>
      <c r="AS20" s="5">
        <f t="shared" si="1"/>
        <v>0.84241546900713116</v>
      </c>
      <c r="AT20" s="5">
        <f t="shared" si="1"/>
        <v>0.1768590564938847</v>
      </c>
      <c r="AU20" s="5">
        <f t="shared" si="1"/>
        <v>0.32772033023735808</v>
      </c>
      <c r="AV20" s="5">
        <f t="shared" si="1"/>
        <v>0.32020087189805502</v>
      </c>
      <c r="AW20" s="5">
        <f t="shared" si="1"/>
        <v>0.19967201462225831</v>
      </c>
      <c r="AX20" s="5">
        <f t="shared" si="1"/>
        <v>0.26399800689919511</v>
      </c>
      <c r="AY20" s="5">
        <f t="shared" si="1"/>
        <v>0.13587378640776698</v>
      </c>
      <c r="AZ20" s="5">
        <f t="shared" si="1"/>
        <v>0.14415427509293677</v>
      </c>
      <c r="BA20" s="5">
        <f t="shared" si="1"/>
        <v>9.7972064376581E-2</v>
      </c>
      <c r="BB20" s="5">
        <f t="shared" si="1"/>
        <v>0.35570000000000002</v>
      </c>
      <c r="BC20" s="5">
        <f t="shared" si="1"/>
        <v>0.79121396776669206</v>
      </c>
      <c r="BD20" s="5">
        <f t="shared" si="1"/>
        <v>0.74495672778561328</v>
      </c>
      <c r="BE20" s="5">
        <f t="shared" si="1"/>
        <v>0.48226606678664263</v>
      </c>
      <c r="BF20" s="5">
        <f t="shared" si="1"/>
        <v>0.36098089259216981</v>
      </c>
      <c r="BG20" s="5">
        <f t="shared" si="1"/>
        <v>0.1896665611814346</v>
      </c>
      <c r="BH20" s="5">
        <f t="shared" si="1"/>
        <v>0.71439200639488409</v>
      </c>
      <c r="BI20" s="5">
        <f t="shared" si="1"/>
        <v>0.73151978239366955</v>
      </c>
      <c r="BJ20" s="5">
        <f t="shared" si="1"/>
        <v>1.4208248337028822</v>
      </c>
      <c r="BK20" s="5">
        <f t="shared" si="1"/>
        <v>0.4120426308401845</v>
      </c>
      <c r="BL20" s="5">
        <f t="shared" si="1"/>
        <v>0.57624719800747204</v>
      </c>
      <c r="BM20" s="5">
        <f t="shared" si="1"/>
        <v>0.8074467860906217</v>
      </c>
      <c r="BN20" s="5">
        <f t="shared" si="1"/>
        <v>0.44184402197802192</v>
      </c>
      <c r="BO20" s="5">
        <f t="shared" si="1"/>
        <v>0.26567511737089206</v>
      </c>
      <c r="BP20" s="5">
        <f t="shared" ref="BP20:CB20" si="2">BP19/BP12</f>
        <v>0.1997094486959238</v>
      </c>
      <c r="BQ20" s="5">
        <f t="shared" si="2"/>
        <v>0.18316619696854289</v>
      </c>
      <c r="BR20" s="5">
        <f t="shared" si="2"/>
        <v>0.19111733333333333</v>
      </c>
      <c r="BS20" s="5">
        <f t="shared" si="2"/>
        <v>0.3743545256005823</v>
      </c>
      <c r="BT20" s="5">
        <f t="shared" si="2"/>
        <v>0.1315562067966389</v>
      </c>
      <c r="BU20" s="5">
        <f t="shared" si="2"/>
        <v>0.18218280467445744</v>
      </c>
      <c r="BV20" s="5">
        <f t="shared" si="2"/>
        <v>0.37587463672391008</v>
      </c>
      <c r="BW20" s="5">
        <f t="shared" si="2"/>
        <v>0.56248637873754148</v>
      </c>
      <c r="BX20" s="5">
        <f t="shared" si="2"/>
        <v>0.40973437499999987</v>
      </c>
      <c r="BY20" s="5">
        <f t="shared" si="2"/>
        <v>0.17022799867461896</v>
      </c>
      <c r="BZ20" s="5">
        <f t="shared" si="2"/>
        <v>0.32760030015007507</v>
      </c>
      <c r="CA20" s="5">
        <f t="shared" si="2"/>
        <v>0.67112663458816879</v>
      </c>
      <c r="CB20" s="5">
        <f t="shared" si="2"/>
        <v>0.19378160201753333</v>
      </c>
      <c r="CD20" s="33"/>
    </row>
    <row r="21" spans="1:82" x14ac:dyDescent="0.2">
      <c r="B21" s="38" t="s">
        <v>188</v>
      </c>
      <c r="C21" s="12">
        <v>1166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D21" s="33" t="s">
        <v>199</v>
      </c>
    </row>
    <row r="22" spans="1:82" x14ac:dyDescent="0.2">
      <c r="B22" s="38" t="s">
        <v>189</v>
      </c>
      <c r="C22" s="5"/>
      <c r="D22" s="5">
        <f>D20*$C21</f>
        <v>155.13601650676833</v>
      </c>
      <c r="E22" s="5">
        <f t="shared" ref="E22:BP22" si="3">E20*$C21</f>
        <v>157.95825786111686</v>
      </c>
      <c r="F22" s="5">
        <f t="shared" si="3"/>
        <v>590.72244316546767</v>
      </c>
      <c r="G22" s="5">
        <f t="shared" si="3"/>
        <v>817.50840491803274</v>
      </c>
      <c r="H22" s="5">
        <f t="shared" si="3"/>
        <v>322.62454991798791</v>
      </c>
      <c r="I22" s="5">
        <f t="shared" si="3"/>
        <v>150.36995601851854</v>
      </c>
      <c r="J22" s="5">
        <f t="shared" si="3"/>
        <v>186.5377012195122</v>
      </c>
      <c r="K22" s="5">
        <f t="shared" si="3"/>
        <v>389.86463689776735</v>
      </c>
      <c r="L22" s="5">
        <f t="shared" si="3"/>
        <v>170.42898191933241</v>
      </c>
      <c r="M22" s="5">
        <f t="shared" si="3"/>
        <v>579.63755028680691</v>
      </c>
      <c r="N22" s="5">
        <f t="shared" si="3"/>
        <v>435.36884668661827</v>
      </c>
      <c r="O22" s="5">
        <f t="shared" si="3"/>
        <v>180.20086155513411</v>
      </c>
      <c r="P22" s="5">
        <f t="shared" si="3"/>
        <v>139.66908391608391</v>
      </c>
      <c r="Q22" s="5">
        <f t="shared" si="3"/>
        <v>253.47756587966489</v>
      </c>
      <c r="R22" s="5">
        <f t="shared" si="3"/>
        <v>197.15385462036488</v>
      </c>
      <c r="S22" s="5">
        <f t="shared" si="3"/>
        <v>199.99091140939598</v>
      </c>
      <c r="T22" s="5">
        <f t="shared" si="3"/>
        <v>159.68884389806635</v>
      </c>
      <c r="U22" s="5">
        <f t="shared" si="3"/>
        <v>251.36495284552848</v>
      </c>
      <c r="V22" s="5">
        <f t="shared" si="3"/>
        <v>189.76667879779188</v>
      </c>
      <c r="W22" s="5">
        <f t="shared" si="3"/>
        <v>209.80533271461718</v>
      </c>
      <c r="X22" s="5">
        <f t="shared" si="3"/>
        <v>156.9624118491185</v>
      </c>
      <c r="Y22" s="5">
        <f t="shared" si="3"/>
        <v>196.84127509375691</v>
      </c>
      <c r="Z22" s="5">
        <f t="shared" si="3"/>
        <v>379.67004644549763</v>
      </c>
      <c r="AA22" s="5">
        <f t="shared" si="3"/>
        <v>398.80245324576907</v>
      </c>
      <c r="AB22" s="5">
        <f t="shared" si="3"/>
        <v>461.01415394736836</v>
      </c>
      <c r="AC22" s="5">
        <f t="shared" si="3"/>
        <v>436.79411854326747</v>
      </c>
      <c r="AD22" s="5">
        <f t="shared" si="3"/>
        <v>424.23643449419569</v>
      </c>
      <c r="AE22" s="5">
        <f t="shared" si="3"/>
        <v>405.41521553398059</v>
      </c>
      <c r="AF22" s="5">
        <f t="shared" si="3"/>
        <v>431.20880619718309</v>
      </c>
      <c r="AG22" s="5">
        <f t="shared" si="3"/>
        <v>444.56971305442846</v>
      </c>
      <c r="AH22" s="5">
        <f t="shared" si="3"/>
        <v>150.82787061659278</v>
      </c>
      <c r="AI22" s="5">
        <f t="shared" si="3"/>
        <v>335.87779577464789</v>
      </c>
      <c r="AJ22" s="5">
        <f t="shared" si="3"/>
        <v>345.80265692162408</v>
      </c>
      <c r="AK22" s="5">
        <f t="shared" si="3"/>
        <v>180.00576354838705</v>
      </c>
      <c r="AL22" s="5">
        <f t="shared" si="3"/>
        <v>340.89767117117111</v>
      </c>
      <c r="AM22" s="5">
        <f t="shared" si="3"/>
        <v>215.3284439974457</v>
      </c>
      <c r="AN22" s="5">
        <f t="shared" si="3"/>
        <v>1393.5096802056557</v>
      </c>
      <c r="AO22" s="5">
        <f t="shared" si="3"/>
        <v>422.36401672701788</v>
      </c>
      <c r="AP22" s="5">
        <f t="shared" si="3"/>
        <v>487.82654383309472</v>
      </c>
      <c r="AQ22" s="5">
        <f t="shared" si="3"/>
        <v>267.37207747589832</v>
      </c>
      <c r="AR22" s="5">
        <f t="shared" si="3"/>
        <v>379.2504950830791</v>
      </c>
      <c r="AS22" s="5">
        <f t="shared" si="3"/>
        <v>982.2564368623149</v>
      </c>
      <c r="AT22" s="5">
        <f t="shared" si="3"/>
        <v>206.21765987186956</v>
      </c>
      <c r="AU22" s="5">
        <f t="shared" si="3"/>
        <v>382.12190505675954</v>
      </c>
      <c r="AV22" s="5">
        <f t="shared" si="3"/>
        <v>373.35421663313213</v>
      </c>
      <c r="AW22" s="5">
        <f t="shared" si="3"/>
        <v>232.81756904955319</v>
      </c>
      <c r="AX22" s="5">
        <f t="shared" si="3"/>
        <v>307.82167604446153</v>
      </c>
      <c r="AY22" s="5">
        <f t="shared" si="3"/>
        <v>158.42883495145631</v>
      </c>
      <c r="AZ22" s="5">
        <f t="shared" si="3"/>
        <v>168.08388475836426</v>
      </c>
      <c r="BA22" s="5">
        <f t="shared" si="3"/>
        <v>114.23542706309344</v>
      </c>
      <c r="BB22" s="5">
        <f t="shared" si="3"/>
        <v>414.74620000000004</v>
      </c>
      <c r="BC22" s="5">
        <f t="shared" si="3"/>
        <v>922.55548641596295</v>
      </c>
      <c r="BD22" s="5">
        <f t="shared" si="3"/>
        <v>868.61954459802507</v>
      </c>
      <c r="BE22" s="5">
        <f t="shared" si="3"/>
        <v>562.32223387322529</v>
      </c>
      <c r="BF22" s="5">
        <f t="shared" si="3"/>
        <v>420.90372076247002</v>
      </c>
      <c r="BG22" s="5">
        <f t="shared" si="3"/>
        <v>221.15121033755275</v>
      </c>
      <c r="BH22" s="5">
        <f t="shared" si="3"/>
        <v>832.98107945643483</v>
      </c>
      <c r="BI22" s="5">
        <f t="shared" si="3"/>
        <v>852.95206627101868</v>
      </c>
      <c r="BJ22" s="5">
        <f t="shared" si="3"/>
        <v>1656.6817560975605</v>
      </c>
      <c r="BK22" s="5">
        <f t="shared" si="3"/>
        <v>480.44170755965513</v>
      </c>
      <c r="BL22" s="5">
        <f t="shared" si="3"/>
        <v>671.9042328767124</v>
      </c>
      <c r="BM22" s="5">
        <f t="shared" si="3"/>
        <v>941.4829525816649</v>
      </c>
      <c r="BN22" s="5">
        <f t="shared" si="3"/>
        <v>515.1901296263735</v>
      </c>
      <c r="BO22" s="5">
        <f t="shared" si="3"/>
        <v>309.77718685446013</v>
      </c>
      <c r="BP22" s="5">
        <f t="shared" si="3"/>
        <v>232.86121717944715</v>
      </c>
      <c r="BQ22" s="5">
        <f t="shared" ref="BQ22:CB22" si="4">BQ20*$C21</f>
        <v>213.57178566532102</v>
      </c>
      <c r="BR22" s="5">
        <f t="shared" si="4"/>
        <v>222.84281066666668</v>
      </c>
      <c r="BS22" s="5">
        <f t="shared" si="4"/>
        <v>436.49737685027895</v>
      </c>
      <c r="BT22" s="5">
        <f t="shared" si="4"/>
        <v>153.39453712488097</v>
      </c>
      <c r="BU22" s="5">
        <f t="shared" si="4"/>
        <v>212.42515025041737</v>
      </c>
      <c r="BV22" s="5">
        <f t="shared" si="4"/>
        <v>438.26982642007914</v>
      </c>
      <c r="BW22" s="5">
        <f t="shared" si="4"/>
        <v>655.85911760797342</v>
      </c>
      <c r="BX22" s="5">
        <f t="shared" si="4"/>
        <v>477.75028124999983</v>
      </c>
      <c r="BY22" s="5">
        <f t="shared" si="4"/>
        <v>198.48584645460571</v>
      </c>
      <c r="BZ22" s="5">
        <f t="shared" si="4"/>
        <v>381.98194997498751</v>
      </c>
      <c r="CA22" s="5">
        <f t="shared" si="4"/>
        <v>782.53365592980481</v>
      </c>
      <c r="CB22" s="5">
        <f t="shared" si="4"/>
        <v>225.94934795244387</v>
      </c>
      <c r="CD22" s="33"/>
    </row>
    <row r="23" spans="1:82" x14ac:dyDescent="0.2">
      <c r="C23" s="5"/>
      <c r="D23" s="5"/>
      <c r="E23" s="6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D23" s="33"/>
    </row>
    <row r="24" spans="1:82" s="32" customFormat="1" x14ac:dyDescent="0.2">
      <c r="A24" s="21"/>
      <c r="B24" s="32" t="s">
        <v>190</v>
      </c>
      <c r="C24" s="15"/>
      <c r="D24" s="15">
        <f t="shared" ref="D24:AI24" si="5">D12*D22</f>
        <v>11804299.496000001</v>
      </c>
      <c r="E24" s="15">
        <f t="shared" si="5"/>
        <v>1533142.8508000004</v>
      </c>
      <c r="F24" s="15">
        <f t="shared" si="5"/>
        <v>821104.19600000011</v>
      </c>
      <c r="G24" s="15">
        <f t="shared" si="5"/>
        <v>997360.25399999996</v>
      </c>
      <c r="H24" s="15">
        <f t="shared" si="5"/>
        <v>1180160.6035999998</v>
      </c>
      <c r="I24" s="15">
        <f t="shared" si="5"/>
        <v>1429116.0620000002</v>
      </c>
      <c r="J24" s="15">
        <f t="shared" si="5"/>
        <v>673028.02600000007</v>
      </c>
      <c r="K24" s="15">
        <f t="shared" si="5"/>
        <v>331774.80600000004</v>
      </c>
      <c r="L24" s="15">
        <f t="shared" si="5"/>
        <v>245076.87600000002</v>
      </c>
      <c r="M24" s="15">
        <f t="shared" si="5"/>
        <v>606300.87760000001</v>
      </c>
      <c r="N24" s="15">
        <f t="shared" si="5"/>
        <v>1018327.7324000001</v>
      </c>
      <c r="O24" s="15">
        <f t="shared" si="5"/>
        <v>1330242.76</v>
      </c>
      <c r="P24" s="15">
        <f t="shared" si="5"/>
        <v>1318196.814</v>
      </c>
      <c r="Q24" s="15">
        <f t="shared" si="5"/>
        <v>1664080.22</v>
      </c>
      <c r="R24" s="15">
        <f t="shared" si="5"/>
        <v>669928.79799999984</v>
      </c>
      <c r="S24" s="15">
        <f t="shared" si="5"/>
        <v>1191945.8319999999</v>
      </c>
      <c r="T24" s="15">
        <f t="shared" si="5"/>
        <v>1247010.182</v>
      </c>
      <c r="U24" s="15">
        <f t="shared" si="5"/>
        <v>989372.45440000005</v>
      </c>
      <c r="V24" s="15">
        <f t="shared" si="5"/>
        <v>928148.82600000012</v>
      </c>
      <c r="W24" s="15">
        <f t="shared" si="5"/>
        <v>1356391.476</v>
      </c>
      <c r="X24" s="15">
        <f t="shared" si="5"/>
        <v>1531325.29</v>
      </c>
      <c r="Y24" s="15">
        <f t="shared" si="5"/>
        <v>892281.5</v>
      </c>
      <c r="Z24" s="15">
        <f t="shared" si="5"/>
        <v>801103.79799999995</v>
      </c>
      <c r="AA24" s="15">
        <f t="shared" si="5"/>
        <v>4736576.7371999994</v>
      </c>
      <c r="AB24" s="15">
        <f t="shared" si="5"/>
        <v>700741.51399999985</v>
      </c>
      <c r="AC24" s="15">
        <f t="shared" si="5"/>
        <v>3921974.3903999985</v>
      </c>
      <c r="AD24" s="15">
        <f t="shared" si="5"/>
        <v>1023258.28</v>
      </c>
      <c r="AE24" s="15">
        <f t="shared" si="5"/>
        <v>2296677.196</v>
      </c>
      <c r="AF24" s="15">
        <f t="shared" si="5"/>
        <v>1530791.2619999999</v>
      </c>
      <c r="AG24" s="15">
        <f t="shared" si="5"/>
        <v>3177339.7392000002</v>
      </c>
      <c r="AH24" s="15">
        <f t="shared" si="5"/>
        <v>1939797.2439999997</v>
      </c>
      <c r="AI24" s="15">
        <f t="shared" si="5"/>
        <v>1717007.2920000001</v>
      </c>
      <c r="AJ24" s="15">
        <f t="shared" ref="AJ24:BO24" si="6">AJ12*AJ22</f>
        <v>1831025.0683999995</v>
      </c>
      <c r="AK24" s="15">
        <f t="shared" si="6"/>
        <v>1116035.7339999997</v>
      </c>
      <c r="AL24" s="15">
        <f t="shared" si="6"/>
        <v>1664944.2259999998</v>
      </c>
      <c r="AM24" s="15">
        <f t="shared" si="6"/>
        <v>1348817.3731999998</v>
      </c>
      <c r="AN24" s="15">
        <f t="shared" si="6"/>
        <v>2168301.0624000002</v>
      </c>
      <c r="AO24" s="15">
        <f t="shared" si="6"/>
        <v>3615858.3472000002</v>
      </c>
      <c r="AP24" s="15">
        <f t="shared" si="6"/>
        <v>2384983.9728000001</v>
      </c>
      <c r="AQ24" s="15">
        <f t="shared" si="6"/>
        <v>1525357.7019999998</v>
      </c>
      <c r="AR24" s="15">
        <f t="shared" si="6"/>
        <v>1118409.7100000002</v>
      </c>
      <c r="AS24" s="15">
        <f t="shared" si="6"/>
        <v>1790653.4844</v>
      </c>
      <c r="AT24" s="15">
        <f t="shared" si="6"/>
        <v>354075.72200000001</v>
      </c>
      <c r="AU24" s="15">
        <f t="shared" si="6"/>
        <v>1481104.504</v>
      </c>
      <c r="AV24" s="15">
        <f t="shared" si="6"/>
        <v>1113342.274</v>
      </c>
      <c r="AW24" s="15">
        <f t="shared" si="6"/>
        <v>1146393.71</v>
      </c>
      <c r="AX24" s="15">
        <f t="shared" si="6"/>
        <v>1606213.5056000003</v>
      </c>
      <c r="AY24" s="15">
        <f t="shared" si="6"/>
        <v>1028044.71</v>
      </c>
      <c r="AZ24" s="15">
        <f t="shared" si="6"/>
        <v>633003.9099999998</v>
      </c>
      <c r="BA24" s="15">
        <f t="shared" si="6"/>
        <v>3115999.7439999999</v>
      </c>
      <c r="BB24" s="15">
        <f t="shared" si="6"/>
        <v>3974927.5808000006</v>
      </c>
      <c r="BC24" s="15">
        <f t="shared" si="6"/>
        <v>2404179.5975999995</v>
      </c>
      <c r="BD24" s="15">
        <f t="shared" si="6"/>
        <v>3079256.2855999987</v>
      </c>
      <c r="BE24" s="15">
        <f t="shared" si="6"/>
        <v>2812173.4915999998</v>
      </c>
      <c r="BF24" s="15">
        <f t="shared" si="6"/>
        <v>3687537.4975999999</v>
      </c>
      <c r="BG24" s="15">
        <f t="shared" si="6"/>
        <v>419302.6948</v>
      </c>
      <c r="BH24" s="15">
        <f t="shared" si="6"/>
        <v>1042059.3304</v>
      </c>
      <c r="BI24" s="15">
        <f t="shared" si="6"/>
        <v>3449338.1559999995</v>
      </c>
      <c r="BJ24" s="15">
        <f t="shared" si="6"/>
        <v>1494326.9439999997</v>
      </c>
      <c r="BK24" s="15">
        <f t="shared" si="6"/>
        <v>2395962.7956000003</v>
      </c>
      <c r="BL24" s="15">
        <f t="shared" si="6"/>
        <v>1079078.1980000001</v>
      </c>
      <c r="BM24" s="15">
        <f t="shared" si="6"/>
        <v>2680401.966</v>
      </c>
      <c r="BN24" s="15">
        <f t="shared" si="6"/>
        <v>4688230.1795999985</v>
      </c>
      <c r="BO24" s="15">
        <f t="shared" si="6"/>
        <v>1187685.7344000002</v>
      </c>
      <c r="BP24" s="15">
        <f t="shared" ref="BP24:CB24" si="7">BP12*BP22</f>
        <v>1491010.3736</v>
      </c>
      <c r="BQ24" s="15">
        <f t="shared" si="7"/>
        <v>2803983.9739999995</v>
      </c>
      <c r="BR24" s="15">
        <f t="shared" si="7"/>
        <v>2323136.3012000001</v>
      </c>
      <c r="BS24" s="15">
        <f t="shared" si="7"/>
        <v>1798805.6899999995</v>
      </c>
      <c r="BT24" s="15">
        <f t="shared" si="7"/>
        <v>3705858.6223999993</v>
      </c>
      <c r="BU24" s="15">
        <f t="shared" si="7"/>
        <v>1017941.3200000001</v>
      </c>
      <c r="BV24" s="15">
        <f t="shared" si="7"/>
        <v>1990621.5515999994</v>
      </c>
      <c r="BW24" s="15">
        <f t="shared" si="7"/>
        <v>987067.97199999995</v>
      </c>
      <c r="BX24" s="15">
        <f t="shared" si="7"/>
        <v>1498224.8819999995</v>
      </c>
      <c r="BY24" s="15">
        <f t="shared" si="7"/>
        <v>3594181.7076000003</v>
      </c>
      <c r="BZ24" s="15">
        <f t="shared" si="7"/>
        <v>763581.91800000006</v>
      </c>
      <c r="CA24" s="15">
        <f t="shared" si="7"/>
        <v>2764691.4064000002</v>
      </c>
      <c r="CB24" s="15">
        <f t="shared" si="7"/>
        <v>1881480.2204000002</v>
      </c>
      <c r="CC24" s="21"/>
      <c r="CD24" s="33"/>
    </row>
    <row r="25" spans="1:82" x14ac:dyDescent="0.2">
      <c r="C25" s="5"/>
      <c r="D25" s="5"/>
      <c r="E25" s="6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D25" s="33"/>
    </row>
    <row r="26" spans="1:82" s="32" customFormat="1" x14ac:dyDescent="0.2">
      <c r="A26" s="63" t="s">
        <v>146</v>
      </c>
      <c r="B26" s="61" t="s">
        <v>183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1"/>
      <c r="CD26" s="63"/>
    </row>
    <row r="27" spans="1:82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D27" s="33"/>
    </row>
    <row r="28" spans="1:82" s="30" customFormat="1" x14ac:dyDescent="0.2">
      <c r="B28" s="30" t="s">
        <v>215</v>
      </c>
      <c r="C28" s="60">
        <f t="shared" ref="C28" si="8">SUM(D28:CB28)</f>
        <v>21220</v>
      </c>
      <c r="D28" s="72">
        <v>1749</v>
      </c>
      <c r="E28" s="72">
        <v>0</v>
      </c>
      <c r="F28" s="72">
        <v>2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2062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138</v>
      </c>
      <c r="AB28" s="72">
        <v>0</v>
      </c>
      <c r="AC28" s="72">
        <v>5</v>
      </c>
      <c r="AD28" s="72">
        <v>0</v>
      </c>
      <c r="AE28" s="72">
        <v>0</v>
      </c>
      <c r="AF28" s="72">
        <v>58</v>
      </c>
      <c r="AG28" s="72">
        <v>184</v>
      </c>
      <c r="AH28" s="72">
        <v>14</v>
      </c>
      <c r="AI28" s="72">
        <v>68</v>
      </c>
      <c r="AJ28" s="72">
        <v>38</v>
      </c>
      <c r="AK28" s="72">
        <v>0</v>
      </c>
      <c r="AL28" s="72">
        <v>18</v>
      </c>
      <c r="AM28" s="72">
        <v>8</v>
      </c>
      <c r="AN28" s="72">
        <v>1469</v>
      </c>
      <c r="AO28" s="72">
        <v>283</v>
      </c>
      <c r="AP28" s="72">
        <v>649</v>
      </c>
      <c r="AQ28" s="72">
        <v>140</v>
      </c>
      <c r="AR28" s="72">
        <v>121</v>
      </c>
      <c r="AS28" s="72">
        <v>1397</v>
      </c>
      <c r="AT28" s="72">
        <v>14</v>
      </c>
      <c r="AU28" s="72">
        <v>7</v>
      </c>
      <c r="AV28" s="72">
        <v>0</v>
      </c>
      <c r="AW28" s="72">
        <v>24</v>
      </c>
      <c r="AX28" s="72">
        <v>239</v>
      </c>
      <c r="AY28" s="72">
        <v>0</v>
      </c>
      <c r="AZ28" s="72">
        <v>0</v>
      </c>
      <c r="BA28" s="72">
        <v>0</v>
      </c>
      <c r="BB28" s="72">
        <v>743</v>
      </c>
      <c r="BC28" s="72">
        <v>2606</v>
      </c>
      <c r="BD28" s="72">
        <v>1537</v>
      </c>
      <c r="BE28" s="72">
        <v>460</v>
      </c>
      <c r="BF28" s="72">
        <v>697</v>
      </c>
      <c r="BG28" s="72">
        <v>7</v>
      </c>
      <c r="BH28" s="72">
        <v>687</v>
      </c>
      <c r="BI28" s="72">
        <v>1440</v>
      </c>
      <c r="BJ28" s="72">
        <v>848</v>
      </c>
      <c r="BK28" s="72">
        <v>35</v>
      </c>
      <c r="BL28" s="72">
        <v>58</v>
      </c>
      <c r="BM28" s="72">
        <v>303</v>
      </c>
      <c r="BN28" s="72">
        <v>130</v>
      </c>
      <c r="BO28" s="72">
        <v>0</v>
      </c>
      <c r="BP28" s="72">
        <v>0</v>
      </c>
      <c r="BQ28" s="72">
        <v>0</v>
      </c>
      <c r="BR28" s="72">
        <v>0</v>
      </c>
      <c r="BS28" s="72">
        <v>2855</v>
      </c>
      <c r="BT28" s="73">
        <v>0</v>
      </c>
      <c r="BU28" s="73">
        <v>0</v>
      </c>
      <c r="BV28" s="73">
        <v>0</v>
      </c>
      <c r="BW28" s="73">
        <v>0</v>
      </c>
      <c r="BX28" s="73">
        <v>0</v>
      </c>
      <c r="BY28" s="73">
        <v>0</v>
      </c>
      <c r="BZ28" s="73">
        <v>0</v>
      </c>
      <c r="CA28" s="73">
        <v>108</v>
      </c>
      <c r="CB28" s="73">
        <v>19</v>
      </c>
      <c r="CD28" s="30" t="s">
        <v>198</v>
      </c>
    </row>
    <row r="29" spans="1:82" x14ac:dyDescent="0.2">
      <c r="B29" s="3" t="s">
        <v>186</v>
      </c>
      <c r="C29" s="5"/>
      <c r="D29" s="5">
        <f>D28/D12</f>
        <v>2.298593770534893E-2</v>
      </c>
      <c r="E29" s="5">
        <f t="shared" ref="E29:BP29" si="9">E28/E12</f>
        <v>0</v>
      </c>
      <c r="F29" s="5">
        <f t="shared" si="9"/>
        <v>1.4388489208633094E-3</v>
      </c>
      <c r="G29" s="5">
        <f t="shared" si="9"/>
        <v>0</v>
      </c>
      <c r="H29" s="5">
        <f t="shared" si="9"/>
        <v>0</v>
      </c>
      <c r="I29" s="5">
        <f t="shared" si="9"/>
        <v>0</v>
      </c>
      <c r="J29" s="5">
        <f t="shared" si="9"/>
        <v>0</v>
      </c>
      <c r="K29" s="5">
        <f t="shared" si="9"/>
        <v>0</v>
      </c>
      <c r="L29" s="5">
        <f t="shared" si="9"/>
        <v>0</v>
      </c>
      <c r="M29" s="5">
        <f t="shared" si="9"/>
        <v>0</v>
      </c>
      <c r="N29" s="5">
        <f t="shared" si="9"/>
        <v>0.88157332193244975</v>
      </c>
      <c r="O29" s="5">
        <f t="shared" si="9"/>
        <v>0</v>
      </c>
      <c r="P29" s="5">
        <f t="shared" si="9"/>
        <v>0</v>
      </c>
      <c r="Q29" s="5">
        <f t="shared" si="9"/>
        <v>0</v>
      </c>
      <c r="R29" s="5">
        <f t="shared" si="9"/>
        <v>0</v>
      </c>
      <c r="S29" s="5">
        <f t="shared" si="9"/>
        <v>0</v>
      </c>
      <c r="T29" s="5">
        <f t="shared" si="9"/>
        <v>0</v>
      </c>
      <c r="U29" s="5">
        <f t="shared" si="9"/>
        <v>0</v>
      </c>
      <c r="V29" s="5">
        <f t="shared" si="9"/>
        <v>0</v>
      </c>
      <c r="W29" s="5">
        <f t="shared" si="9"/>
        <v>0</v>
      </c>
      <c r="X29" s="5">
        <f t="shared" si="9"/>
        <v>0</v>
      </c>
      <c r="Y29" s="5">
        <f t="shared" si="9"/>
        <v>0</v>
      </c>
      <c r="Z29" s="5">
        <f t="shared" si="9"/>
        <v>0</v>
      </c>
      <c r="AA29" s="5">
        <f t="shared" si="9"/>
        <v>1.1619095731245263E-2</v>
      </c>
      <c r="AB29" s="5">
        <f t="shared" si="9"/>
        <v>0</v>
      </c>
      <c r="AC29" s="5">
        <f t="shared" si="9"/>
        <v>5.5685488361732934E-4</v>
      </c>
      <c r="AD29" s="5">
        <f t="shared" si="9"/>
        <v>0</v>
      </c>
      <c r="AE29" s="5">
        <f t="shared" si="9"/>
        <v>0</v>
      </c>
      <c r="AF29" s="5">
        <f t="shared" si="9"/>
        <v>1.6338028169014085E-2</v>
      </c>
      <c r="AG29" s="5">
        <f t="shared" si="9"/>
        <v>2.5745067860640829E-2</v>
      </c>
      <c r="AH29" s="5">
        <f t="shared" si="9"/>
        <v>1.088562320192831E-3</v>
      </c>
      <c r="AI29" s="5">
        <f t="shared" si="9"/>
        <v>1.3302034428794992E-2</v>
      </c>
      <c r="AJ29" s="5">
        <f t="shared" si="9"/>
        <v>7.1765816808309728E-3</v>
      </c>
      <c r="AK29" s="5">
        <f t="shared" si="9"/>
        <v>0</v>
      </c>
      <c r="AL29" s="5">
        <f t="shared" si="9"/>
        <v>3.6855036855036856E-3</v>
      </c>
      <c r="AM29" s="5">
        <f t="shared" si="9"/>
        <v>1.277139208173691E-3</v>
      </c>
      <c r="AN29" s="5">
        <f t="shared" si="9"/>
        <v>0.9440874035989717</v>
      </c>
      <c r="AO29" s="5">
        <f t="shared" si="9"/>
        <v>3.3056885877818014E-2</v>
      </c>
      <c r="AP29" s="5">
        <f t="shared" si="9"/>
        <v>0.13274698302311311</v>
      </c>
      <c r="AQ29" s="5">
        <f t="shared" si="9"/>
        <v>2.4539877300613498E-2</v>
      </c>
      <c r="AR29" s="5">
        <f t="shared" si="9"/>
        <v>4.1030857917938285E-2</v>
      </c>
      <c r="AS29" s="5">
        <f t="shared" si="9"/>
        <v>0.7663192539769611</v>
      </c>
      <c r="AT29" s="5">
        <f t="shared" si="9"/>
        <v>8.1537565521258015E-3</v>
      </c>
      <c r="AU29" s="5">
        <f t="shared" si="9"/>
        <v>1.805985552115583E-3</v>
      </c>
      <c r="AV29" s="5">
        <f t="shared" si="9"/>
        <v>0</v>
      </c>
      <c r="AW29" s="5">
        <f t="shared" si="9"/>
        <v>4.87408610885459E-3</v>
      </c>
      <c r="AX29" s="5">
        <f t="shared" si="9"/>
        <v>4.5802989651207361E-2</v>
      </c>
      <c r="AY29" s="5">
        <f t="shared" si="9"/>
        <v>0</v>
      </c>
      <c r="AZ29" s="5">
        <f t="shared" si="9"/>
        <v>0</v>
      </c>
      <c r="BA29" s="5">
        <f t="shared" si="9"/>
        <v>0</v>
      </c>
      <c r="BB29" s="5">
        <f t="shared" si="9"/>
        <v>7.7525041736227041E-2</v>
      </c>
      <c r="BC29" s="5">
        <f t="shared" si="9"/>
        <v>1</v>
      </c>
      <c r="BD29" s="5">
        <f t="shared" si="9"/>
        <v>0.43356840620592385</v>
      </c>
      <c r="BE29" s="5">
        <f t="shared" si="9"/>
        <v>9.1981603679264154E-2</v>
      </c>
      <c r="BF29" s="5">
        <f t="shared" si="9"/>
        <v>7.9557128181714412E-2</v>
      </c>
      <c r="BG29" s="5">
        <f t="shared" si="9"/>
        <v>3.6919831223628692E-3</v>
      </c>
      <c r="BH29" s="5">
        <f t="shared" si="9"/>
        <v>0.54916067146282976</v>
      </c>
      <c r="BI29" s="5">
        <f t="shared" si="9"/>
        <v>0.35608308605341249</v>
      </c>
      <c r="BJ29" s="5">
        <f t="shared" si="9"/>
        <v>0.94013303769401335</v>
      </c>
      <c r="BK29" s="5">
        <f t="shared" si="9"/>
        <v>7.0182474433527174E-3</v>
      </c>
      <c r="BL29" s="5">
        <f t="shared" si="9"/>
        <v>3.6114570361145702E-2</v>
      </c>
      <c r="BM29" s="5">
        <f t="shared" si="9"/>
        <v>0.10642781875658588</v>
      </c>
      <c r="BN29" s="5">
        <f t="shared" si="9"/>
        <v>1.4285714285714285E-2</v>
      </c>
      <c r="BO29" s="5">
        <f t="shared" si="9"/>
        <v>0</v>
      </c>
      <c r="BP29" s="5">
        <f t="shared" si="9"/>
        <v>0</v>
      </c>
      <c r="BQ29" s="5">
        <f t="shared" ref="BQ29:CB29" si="10">BQ28/BQ12</f>
        <v>0</v>
      </c>
      <c r="BR29" s="5">
        <f t="shared" si="10"/>
        <v>0</v>
      </c>
      <c r="BS29" s="5">
        <f t="shared" si="10"/>
        <v>0.69279301140499883</v>
      </c>
      <c r="BT29" s="5">
        <f t="shared" si="10"/>
        <v>0</v>
      </c>
      <c r="BU29" s="5">
        <f t="shared" si="10"/>
        <v>0</v>
      </c>
      <c r="BV29" s="5">
        <f t="shared" si="10"/>
        <v>0</v>
      </c>
      <c r="BW29" s="5">
        <f t="shared" si="10"/>
        <v>0</v>
      </c>
      <c r="BX29" s="5">
        <f t="shared" si="10"/>
        <v>0</v>
      </c>
      <c r="BY29" s="5">
        <f t="shared" si="10"/>
        <v>0</v>
      </c>
      <c r="BZ29" s="5">
        <f t="shared" si="10"/>
        <v>0</v>
      </c>
      <c r="CA29" s="5">
        <f t="shared" si="10"/>
        <v>3.0568921596377016E-2</v>
      </c>
      <c r="CB29" s="5">
        <f t="shared" si="10"/>
        <v>2.2817341179296267E-3</v>
      </c>
      <c r="CD29" s="33"/>
    </row>
    <row r="30" spans="1:82" x14ac:dyDescent="0.2">
      <c r="B30" s="38" t="s">
        <v>191</v>
      </c>
      <c r="C30" s="12">
        <v>134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D30" s="33" t="s">
        <v>199</v>
      </c>
    </row>
    <row r="31" spans="1:82" x14ac:dyDescent="0.2">
      <c r="B31" s="38" t="s">
        <v>189</v>
      </c>
      <c r="C31" s="5"/>
      <c r="D31" s="5">
        <f>D29*$C30</f>
        <v>3.0801156525167568</v>
      </c>
      <c r="E31" s="5">
        <f t="shared" ref="E31:BP31" si="11">E29*$C30</f>
        <v>0</v>
      </c>
      <c r="F31" s="5">
        <f t="shared" si="11"/>
        <v>0.19280575539568345</v>
      </c>
      <c r="G31" s="5">
        <f t="shared" si="11"/>
        <v>0</v>
      </c>
      <c r="H31" s="5">
        <f t="shared" si="11"/>
        <v>0</v>
      </c>
      <c r="I31" s="5">
        <f t="shared" si="11"/>
        <v>0</v>
      </c>
      <c r="J31" s="5">
        <f t="shared" si="11"/>
        <v>0</v>
      </c>
      <c r="K31" s="5">
        <f t="shared" si="11"/>
        <v>0</v>
      </c>
      <c r="L31" s="5">
        <f t="shared" si="11"/>
        <v>0</v>
      </c>
      <c r="M31" s="5">
        <f t="shared" si="11"/>
        <v>0</v>
      </c>
      <c r="N31" s="5">
        <f t="shared" si="11"/>
        <v>118.13082513894827</v>
      </c>
      <c r="O31" s="5">
        <f t="shared" si="11"/>
        <v>0</v>
      </c>
      <c r="P31" s="5">
        <f t="shared" si="11"/>
        <v>0</v>
      </c>
      <c r="Q31" s="5">
        <f t="shared" si="11"/>
        <v>0</v>
      </c>
      <c r="R31" s="5">
        <f t="shared" si="11"/>
        <v>0</v>
      </c>
      <c r="S31" s="5">
        <f t="shared" si="11"/>
        <v>0</v>
      </c>
      <c r="T31" s="5">
        <f t="shared" si="11"/>
        <v>0</v>
      </c>
      <c r="U31" s="5">
        <f t="shared" si="11"/>
        <v>0</v>
      </c>
      <c r="V31" s="5">
        <f t="shared" si="11"/>
        <v>0</v>
      </c>
      <c r="W31" s="5">
        <f t="shared" si="11"/>
        <v>0</v>
      </c>
      <c r="X31" s="5">
        <f t="shared" si="11"/>
        <v>0</v>
      </c>
      <c r="Y31" s="5">
        <f t="shared" si="11"/>
        <v>0</v>
      </c>
      <c r="Z31" s="5">
        <f t="shared" si="11"/>
        <v>0</v>
      </c>
      <c r="AA31" s="5">
        <f t="shared" si="11"/>
        <v>1.5569588279868654</v>
      </c>
      <c r="AB31" s="5">
        <f t="shared" si="11"/>
        <v>0</v>
      </c>
      <c r="AC31" s="5">
        <f t="shared" si="11"/>
        <v>7.4618554404722134E-2</v>
      </c>
      <c r="AD31" s="5">
        <f t="shared" si="11"/>
        <v>0</v>
      </c>
      <c r="AE31" s="5">
        <f t="shared" si="11"/>
        <v>0</v>
      </c>
      <c r="AF31" s="5">
        <f t="shared" si="11"/>
        <v>2.1892957746478876</v>
      </c>
      <c r="AG31" s="5">
        <f t="shared" si="11"/>
        <v>3.4498390933258714</v>
      </c>
      <c r="AH31" s="5">
        <f t="shared" si="11"/>
        <v>0.14586735090583935</v>
      </c>
      <c r="AI31" s="5">
        <f t="shared" si="11"/>
        <v>1.7824726134585289</v>
      </c>
      <c r="AJ31" s="5">
        <f t="shared" si="11"/>
        <v>0.9616619452313504</v>
      </c>
      <c r="AK31" s="5">
        <f t="shared" si="11"/>
        <v>0</v>
      </c>
      <c r="AL31" s="5">
        <f t="shared" si="11"/>
        <v>0.49385749385749389</v>
      </c>
      <c r="AM31" s="5">
        <f t="shared" si="11"/>
        <v>0.1711366538952746</v>
      </c>
      <c r="AN31" s="5">
        <f t="shared" si="11"/>
        <v>126.5077120822622</v>
      </c>
      <c r="AO31" s="5">
        <f t="shared" si="11"/>
        <v>4.4296227076276136</v>
      </c>
      <c r="AP31" s="5">
        <f t="shared" si="11"/>
        <v>17.788095725097158</v>
      </c>
      <c r="AQ31" s="5">
        <f t="shared" si="11"/>
        <v>3.2883435582822087</v>
      </c>
      <c r="AR31" s="5">
        <f t="shared" si="11"/>
        <v>5.4981349610037302</v>
      </c>
      <c r="AS31" s="5">
        <f t="shared" si="11"/>
        <v>102.68678003291279</v>
      </c>
      <c r="AT31" s="5">
        <f t="shared" si="11"/>
        <v>1.0926033779848574</v>
      </c>
      <c r="AU31" s="5">
        <f t="shared" si="11"/>
        <v>0.24200206398348811</v>
      </c>
      <c r="AV31" s="5">
        <f t="shared" si="11"/>
        <v>0</v>
      </c>
      <c r="AW31" s="5">
        <f t="shared" si="11"/>
        <v>0.65312753858651507</v>
      </c>
      <c r="AX31" s="5">
        <f t="shared" si="11"/>
        <v>6.1376006132617862</v>
      </c>
      <c r="AY31" s="5">
        <f t="shared" si="11"/>
        <v>0</v>
      </c>
      <c r="AZ31" s="5">
        <f t="shared" si="11"/>
        <v>0</v>
      </c>
      <c r="BA31" s="5">
        <f t="shared" si="11"/>
        <v>0</v>
      </c>
      <c r="BB31" s="5">
        <f t="shared" si="11"/>
        <v>10.388355592654424</v>
      </c>
      <c r="BC31" s="5">
        <f t="shared" si="11"/>
        <v>134</v>
      </c>
      <c r="BD31" s="5">
        <f t="shared" si="11"/>
        <v>58.098166431593796</v>
      </c>
      <c r="BE31" s="5">
        <f t="shared" si="11"/>
        <v>12.325534893021397</v>
      </c>
      <c r="BF31" s="5">
        <f t="shared" si="11"/>
        <v>10.660655176349731</v>
      </c>
      <c r="BG31" s="5">
        <f t="shared" si="11"/>
        <v>0.49472573839662448</v>
      </c>
      <c r="BH31" s="5">
        <f t="shared" si="11"/>
        <v>73.587529976019184</v>
      </c>
      <c r="BI31" s="5">
        <f t="shared" si="11"/>
        <v>47.715133531157271</v>
      </c>
      <c r="BJ31" s="5">
        <f t="shared" si="11"/>
        <v>125.97782705099779</v>
      </c>
      <c r="BK31" s="5">
        <f t="shared" si="11"/>
        <v>0.94044515740926415</v>
      </c>
      <c r="BL31" s="5">
        <f t="shared" si="11"/>
        <v>4.8393524283935241</v>
      </c>
      <c r="BM31" s="5">
        <f t="shared" si="11"/>
        <v>14.261327713382508</v>
      </c>
      <c r="BN31" s="5">
        <f t="shared" si="11"/>
        <v>1.9142857142857141</v>
      </c>
      <c r="BO31" s="5">
        <f t="shared" si="11"/>
        <v>0</v>
      </c>
      <c r="BP31" s="5">
        <f t="shared" si="11"/>
        <v>0</v>
      </c>
      <c r="BQ31" s="5">
        <f t="shared" ref="BQ31:CB31" si="12">BQ29*$C30</f>
        <v>0</v>
      </c>
      <c r="BR31" s="5">
        <f t="shared" si="12"/>
        <v>0</v>
      </c>
      <c r="BS31" s="5">
        <f t="shared" si="12"/>
        <v>92.834263528269844</v>
      </c>
      <c r="BT31" s="5">
        <f t="shared" si="12"/>
        <v>0</v>
      </c>
      <c r="BU31" s="5">
        <f t="shared" si="12"/>
        <v>0</v>
      </c>
      <c r="BV31" s="5">
        <f t="shared" si="12"/>
        <v>0</v>
      </c>
      <c r="BW31" s="5">
        <f t="shared" si="12"/>
        <v>0</v>
      </c>
      <c r="BX31" s="5">
        <f t="shared" si="12"/>
        <v>0</v>
      </c>
      <c r="BY31" s="5">
        <f t="shared" si="12"/>
        <v>0</v>
      </c>
      <c r="BZ31" s="5">
        <f t="shared" si="12"/>
        <v>0</v>
      </c>
      <c r="CA31" s="5">
        <f t="shared" si="12"/>
        <v>4.09623549391452</v>
      </c>
      <c r="CB31" s="5">
        <f t="shared" si="12"/>
        <v>0.30575237180256998</v>
      </c>
      <c r="CD31" s="33"/>
    </row>
    <row r="32" spans="1:82" x14ac:dyDescent="0.2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D32" s="33"/>
    </row>
    <row r="33" spans="1:82" s="32" customFormat="1" x14ac:dyDescent="0.2">
      <c r="A33" s="21"/>
      <c r="B33" s="32" t="s">
        <v>190</v>
      </c>
      <c r="C33" s="15"/>
      <c r="D33" s="15">
        <f t="shared" ref="D33:AI33" si="13">D31*D12</f>
        <v>234366.00000000003</v>
      </c>
      <c r="E33" s="15">
        <f t="shared" si="13"/>
        <v>0</v>
      </c>
      <c r="F33" s="15">
        <f t="shared" si="13"/>
        <v>268</v>
      </c>
      <c r="G33" s="15">
        <f t="shared" si="13"/>
        <v>0</v>
      </c>
      <c r="H33" s="15">
        <f t="shared" si="13"/>
        <v>0</v>
      </c>
      <c r="I33" s="15">
        <f t="shared" si="13"/>
        <v>0</v>
      </c>
      <c r="J33" s="15">
        <f t="shared" si="13"/>
        <v>0</v>
      </c>
      <c r="K33" s="15">
        <f t="shared" si="13"/>
        <v>0</v>
      </c>
      <c r="L33" s="15">
        <f t="shared" si="13"/>
        <v>0</v>
      </c>
      <c r="M33" s="15">
        <f t="shared" si="13"/>
        <v>0</v>
      </c>
      <c r="N33" s="15">
        <f t="shared" si="13"/>
        <v>276308</v>
      </c>
      <c r="O33" s="15">
        <f t="shared" si="13"/>
        <v>0</v>
      </c>
      <c r="P33" s="15">
        <f t="shared" si="13"/>
        <v>0</v>
      </c>
      <c r="Q33" s="15">
        <f t="shared" si="13"/>
        <v>0</v>
      </c>
      <c r="R33" s="15">
        <f t="shared" si="13"/>
        <v>0</v>
      </c>
      <c r="S33" s="15">
        <f t="shared" si="13"/>
        <v>0</v>
      </c>
      <c r="T33" s="15">
        <f t="shared" si="13"/>
        <v>0</v>
      </c>
      <c r="U33" s="15">
        <f t="shared" si="13"/>
        <v>0</v>
      </c>
      <c r="V33" s="15">
        <f t="shared" si="13"/>
        <v>0</v>
      </c>
      <c r="W33" s="15">
        <f t="shared" si="13"/>
        <v>0</v>
      </c>
      <c r="X33" s="15">
        <f t="shared" si="13"/>
        <v>0</v>
      </c>
      <c r="Y33" s="15">
        <f t="shared" si="13"/>
        <v>0</v>
      </c>
      <c r="Z33" s="15">
        <f t="shared" si="13"/>
        <v>0</v>
      </c>
      <c r="AA33" s="15">
        <f t="shared" si="13"/>
        <v>18492</v>
      </c>
      <c r="AB33" s="15">
        <f t="shared" si="13"/>
        <v>0</v>
      </c>
      <c r="AC33" s="15">
        <f t="shared" si="13"/>
        <v>670</v>
      </c>
      <c r="AD33" s="15">
        <f t="shared" si="13"/>
        <v>0</v>
      </c>
      <c r="AE33" s="15">
        <f t="shared" si="13"/>
        <v>0</v>
      </c>
      <c r="AF33" s="15">
        <f t="shared" si="13"/>
        <v>7772.0000000000009</v>
      </c>
      <c r="AG33" s="15">
        <f t="shared" si="13"/>
        <v>24656.000000000004</v>
      </c>
      <c r="AH33" s="15">
        <f t="shared" si="13"/>
        <v>1876</v>
      </c>
      <c r="AI33" s="15">
        <f t="shared" si="13"/>
        <v>9112</v>
      </c>
      <c r="AJ33" s="15">
        <f t="shared" ref="AJ33:BO33" si="14">AJ31*AJ12</f>
        <v>5092</v>
      </c>
      <c r="AK33" s="15">
        <f t="shared" si="14"/>
        <v>0</v>
      </c>
      <c r="AL33" s="15">
        <f t="shared" si="14"/>
        <v>2412</v>
      </c>
      <c r="AM33" s="15">
        <f t="shared" si="14"/>
        <v>1072.0000000000002</v>
      </c>
      <c r="AN33" s="15">
        <f t="shared" si="14"/>
        <v>196846</v>
      </c>
      <c r="AO33" s="15">
        <f t="shared" si="14"/>
        <v>37922</v>
      </c>
      <c r="AP33" s="15">
        <f t="shared" si="14"/>
        <v>86966</v>
      </c>
      <c r="AQ33" s="15">
        <f t="shared" si="14"/>
        <v>18760</v>
      </c>
      <c r="AR33" s="15">
        <f t="shared" si="14"/>
        <v>16214</v>
      </c>
      <c r="AS33" s="15">
        <f t="shared" si="14"/>
        <v>187198.00000000003</v>
      </c>
      <c r="AT33" s="15">
        <f t="shared" si="14"/>
        <v>1876.0000000000002</v>
      </c>
      <c r="AU33" s="15">
        <f t="shared" si="14"/>
        <v>937.99999999999989</v>
      </c>
      <c r="AV33" s="15">
        <f t="shared" si="14"/>
        <v>0</v>
      </c>
      <c r="AW33" s="15">
        <f t="shared" si="14"/>
        <v>3216</v>
      </c>
      <c r="AX33" s="15">
        <f t="shared" si="14"/>
        <v>32026</v>
      </c>
      <c r="AY33" s="15">
        <f t="shared" si="14"/>
        <v>0</v>
      </c>
      <c r="AZ33" s="15">
        <f t="shared" si="14"/>
        <v>0</v>
      </c>
      <c r="BA33" s="15">
        <f t="shared" si="14"/>
        <v>0</v>
      </c>
      <c r="BB33" s="15">
        <f t="shared" si="14"/>
        <v>99562</v>
      </c>
      <c r="BC33" s="15">
        <f t="shared" si="14"/>
        <v>349204</v>
      </c>
      <c r="BD33" s="15">
        <f t="shared" si="14"/>
        <v>205958</v>
      </c>
      <c r="BE33" s="15">
        <f t="shared" si="14"/>
        <v>61640.000000000007</v>
      </c>
      <c r="BF33" s="15">
        <f t="shared" si="14"/>
        <v>93398</v>
      </c>
      <c r="BG33" s="15">
        <f t="shared" si="14"/>
        <v>938</v>
      </c>
      <c r="BH33" s="15">
        <f t="shared" si="14"/>
        <v>92058</v>
      </c>
      <c r="BI33" s="15">
        <f t="shared" si="14"/>
        <v>192960</v>
      </c>
      <c r="BJ33" s="15">
        <f t="shared" si="14"/>
        <v>113632</v>
      </c>
      <c r="BK33" s="15">
        <f t="shared" si="14"/>
        <v>4690</v>
      </c>
      <c r="BL33" s="15">
        <f t="shared" si="14"/>
        <v>7772</v>
      </c>
      <c r="BM33" s="15">
        <f t="shared" si="14"/>
        <v>40602</v>
      </c>
      <c r="BN33" s="15">
        <f t="shared" si="14"/>
        <v>17420</v>
      </c>
      <c r="BO33" s="15">
        <f t="shared" si="14"/>
        <v>0</v>
      </c>
      <c r="BP33" s="15">
        <f t="shared" ref="BP33:CB33" si="15">BP31*BP12</f>
        <v>0</v>
      </c>
      <c r="BQ33" s="15">
        <f t="shared" si="15"/>
        <v>0</v>
      </c>
      <c r="BR33" s="15">
        <f t="shared" si="15"/>
        <v>0</v>
      </c>
      <c r="BS33" s="15">
        <f t="shared" si="15"/>
        <v>382570</v>
      </c>
      <c r="BT33" s="15">
        <f t="shared" si="15"/>
        <v>0</v>
      </c>
      <c r="BU33" s="15">
        <f t="shared" si="15"/>
        <v>0</v>
      </c>
      <c r="BV33" s="15">
        <f t="shared" si="15"/>
        <v>0</v>
      </c>
      <c r="BW33" s="15">
        <f t="shared" si="15"/>
        <v>0</v>
      </c>
      <c r="BX33" s="15">
        <f t="shared" si="15"/>
        <v>0</v>
      </c>
      <c r="BY33" s="15">
        <f t="shared" si="15"/>
        <v>0</v>
      </c>
      <c r="BZ33" s="15">
        <f t="shared" si="15"/>
        <v>0</v>
      </c>
      <c r="CA33" s="15">
        <f t="shared" si="15"/>
        <v>14472</v>
      </c>
      <c r="CB33" s="15">
        <f t="shared" si="15"/>
        <v>2546</v>
      </c>
      <c r="CC33" s="21"/>
      <c r="CD33" s="33"/>
    </row>
    <row r="34" spans="1:82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D34" s="33"/>
    </row>
    <row r="35" spans="1:82" s="32" customFormat="1" x14ac:dyDescent="0.2">
      <c r="A35" s="63" t="s">
        <v>154</v>
      </c>
      <c r="B35" s="61" t="s">
        <v>179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1"/>
      <c r="CD35" s="63"/>
    </row>
    <row r="36" spans="1:82" x14ac:dyDescent="0.2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D36" s="33"/>
    </row>
    <row r="37" spans="1:82" s="32" customFormat="1" x14ac:dyDescent="0.2">
      <c r="A37" s="30"/>
      <c r="B37" s="30" t="s">
        <v>216</v>
      </c>
      <c r="C37" s="74">
        <f t="shared" ref="C37" si="16">SUM(D37:CB37)</f>
        <v>86211.314115847548</v>
      </c>
      <c r="D37" s="44">
        <v>5635.0697963719203</v>
      </c>
      <c r="E37" s="44">
        <v>0</v>
      </c>
      <c r="F37" s="44">
        <v>0</v>
      </c>
      <c r="G37" s="44">
        <v>0</v>
      </c>
      <c r="H37" s="44">
        <v>1416.37975153149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3386.45402906544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1303.7261470088399</v>
      </c>
      <c r="AC37" s="44">
        <v>4634.3439036513</v>
      </c>
      <c r="AD37" s="44">
        <v>1060.35765597826</v>
      </c>
      <c r="AE37" s="44">
        <v>5666.9985331379803</v>
      </c>
      <c r="AF37" s="44">
        <v>0</v>
      </c>
      <c r="AG37" s="44">
        <v>0</v>
      </c>
      <c r="AH37" s="44">
        <v>0</v>
      </c>
      <c r="AI37" s="44">
        <v>0</v>
      </c>
      <c r="AJ37" s="44">
        <v>2878.3926461066198</v>
      </c>
      <c r="AK37" s="44">
        <v>0</v>
      </c>
      <c r="AL37" s="44">
        <v>0</v>
      </c>
      <c r="AM37" s="44">
        <v>0</v>
      </c>
      <c r="AN37" s="44">
        <v>10487.402006078801</v>
      </c>
      <c r="AO37" s="44">
        <v>0</v>
      </c>
      <c r="AP37" s="44">
        <v>0</v>
      </c>
      <c r="AQ37" s="44">
        <v>2706.9065382957201</v>
      </c>
      <c r="AR37" s="44">
        <v>3227.3242607759798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2058.8514780364399</v>
      </c>
      <c r="AY37" s="44">
        <v>0</v>
      </c>
      <c r="AZ37" s="44">
        <v>0</v>
      </c>
      <c r="BA37" s="44">
        <v>4402.5420394262401</v>
      </c>
      <c r="BB37" s="44">
        <v>4344.7406577422998</v>
      </c>
      <c r="BC37" s="44">
        <v>3807.51387128538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7850.8943269604797</v>
      </c>
      <c r="BJ37" s="44">
        <v>0</v>
      </c>
      <c r="BK37" s="44">
        <v>0</v>
      </c>
      <c r="BL37" s="44">
        <v>1621.8707957850199</v>
      </c>
      <c r="BM37" s="44">
        <v>0</v>
      </c>
      <c r="BN37" s="44">
        <v>4971.7836705469199</v>
      </c>
      <c r="BO37" s="44">
        <v>2289.7926826914199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4110.0560134969601</v>
      </c>
      <c r="BW37" s="44">
        <v>0</v>
      </c>
      <c r="BX37" s="44">
        <v>2217.6282348305799</v>
      </c>
      <c r="BY37" s="44">
        <v>0</v>
      </c>
      <c r="BZ37" s="44">
        <v>0</v>
      </c>
      <c r="CA37" s="44">
        <v>3701.64191171026</v>
      </c>
      <c r="CB37" s="44">
        <v>2430.6431653332002</v>
      </c>
      <c r="CD37" s="30" t="s">
        <v>198</v>
      </c>
    </row>
    <row r="38" spans="1:82" x14ac:dyDescent="0.2">
      <c r="B38" s="3" t="s">
        <v>191</v>
      </c>
      <c r="C38" s="75">
        <v>8.0000000000000002E-3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D38" s="33" t="s">
        <v>199</v>
      </c>
    </row>
    <row r="39" spans="1:82" x14ac:dyDescent="0.2">
      <c r="B39" s="3" t="s">
        <v>189</v>
      </c>
      <c r="C39" s="5"/>
      <c r="D39" s="5">
        <f>D37*$C38</f>
        <v>45.080558370975361</v>
      </c>
      <c r="E39" s="5">
        <f t="shared" ref="E39:BP39" si="17">E37*$C38</f>
        <v>0</v>
      </c>
      <c r="F39" s="5">
        <f t="shared" si="17"/>
        <v>0</v>
      </c>
      <c r="G39" s="5">
        <f t="shared" si="17"/>
        <v>0</v>
      </c>
      <c r="H39" s="5">
        <f t="shared" si="17"/>
        <v>11.33103801225192</v>
      </c>
      <c r="I39" s="5">
        <f t="shared" si="17"/>
        <v>0</v>
      </c>
      <c r="J39" s="5">
        <f t="shared" si="17"/>
        <v>0</v>
      </c>
      <c r="K39" s="5">
        <f t="shared" si="17"/>
        <v>0</v>
      </c>
      <c r="L39" s="5">
        <f t="shared" si="17"/>
        <v>0</v>
      </c>
      <c r="M39" s="5">
        <f t="shared" si="17"/>
        <v>0</v>
      </c>
      <c r="N39" s="5">
        <f t="shared" si="17"/>
        <v>27.091632232523519</v>
      </c>
      <c r="O39" s="5">
        <f t="shared" si="17"/>
        <v>0</v>
      </c>
      <c r="P39" s="5">
        <f t="shared" si="17"/>
        <v>0</v>
      </c>
      <c r="Q39" s="5">
        <f t="shared" si="17"/>
        <v>0</v>
      </c>
      <c r="R39" s="5">
        <f t="shared" si="17"/>
        <v>0</v>
      </c>
      <c r="S39" s="5">
        <f t="shared" si="17"/>
        <v>0</v>
      </c>
      <c r="T39" s="5">
        <f t="shared" si="17"/>
        <v>0</v>
      </c>
      <c r="U39" s="5">
        <f t="shared" si="17"/>
        <v>0</v>
      </c>
      <c r="V39" s="5">
        <f t="shared" si="17"/>
        <v>0</v>
      </c>
      <c r="W39" s="5">
        <f t="shared" si="17"/>
        <v>0</v>
      </c>
      <c r="X39" s="5">
        <f t="shared" si="17"/>
        <v>0</v>
      </c>
      <c r="Y39" s="5">
        <f t="shared" si="17"/>
        <v>0</v>
      </c>
      <c r="Z39" s="5">
        <f t="shared" si="17"/>
        <v>0</v>
      </c>
      <c r="AA39" s="5">
        <f t="shared" si="17"/>
        <v>0</v>
      </c>
      <c r="AB39" s="5">
        <f t="shared" si="17"/>
        <v>10.429809176070719</v>
      </c>
      <c r="AC39" s="5">
        <f t="shared" si="17"/>
        <v>37.074751229210399</v>
      </c>
      <c r="AD39" s="5">
        <f t="shared" si="17"/>
        <v>8.4828612478260812</v>
      </c>
      <c r="AE39" s="5">
        <f t="shared" si="17"/>
        <v>45.335988265103843</v>
      </c>
      <c r="AF39" s="5">
        <f t="shared" si="17"/>
        <v>0</v>
      </c>
      <c r="AG39" s="5">
        <f t="shared" si="17"/>
        <v>0</v>
      </c>
      <c r="AH39" s="5">
        <f t="shared" si="17"/>
        <v>0</v>
      </c>
      <c r="AI39" s="5">
        <f t="shared" si="17"/>
        <v>0</v>
      </c>
      <c r="AJ39" s="5">
        <f t="shared" si="17"/>
        <v>23.02714116885296</v>
      </c>
      <c r="AK39" s="5">
        <f t="shared" si="17"/>
        <v>0</v>
      </c>
      <c r="AL39" s="5">
        <f t="shared" si="17"/>
        <v>0</v>
      </c>
      <c r="AM39" s="5">
        <f t="shared" si="17"/>
        <v>0</v>
      </c>
      <c r="AN39" s="5">
        <f t="shared" si="17"/>
        <v>83.899216048630407</v>
      </c>
      <c r="AO39" s="5">
        <f t="shared" si="17"/>
        <v>0</v>
      </c>
      <c r="AP39" s="5">
        <f t="shared" si="17"/>
        <v>0</v>
      </c>
      <c r="AQ39" s="5">
        <f t="shared" si="17"/>
        <v>21.65525230636576</v>
      </c>
      <c r="AR39" s="5">
        <f t="shared" si="17"/>
        <v>25.818594086207838</v>
      </c>
      <c r="AS39" s="5">
        <f t="shared" si="17"/>
        <v>0</v>
      </c>
      <c r="AT39" s="5">
        <f t="shared" si="17"/>
        <v>0</v>
      </c>
      <c r="AU39" s="5">
        <f t="shared" si="17"/>
        <v>0</v>
      </c>
      <c r="AV39" s="5">
        <f t="shared" si="17"/>
        <v>0</v>
      </c>
      <c r="AW39" s="5">
        <f t="shared" si="17"/>
        <v>0</v>
      </c>
      <c r="AX39" s="5">
        <f t="shared" si="17"/>
        <v>16.47081182429152</v>
      </c>
      <c r="AY39" s="5">
        <f t="shared" si="17"/>
        <v>0</v>
      </c>
      <c r="AZ39" s="5">
        <f t="shared" si="17"/>
        <v>0</v>
      </c>
      <c r="BA39" s="5">
        <f t="shared" si="17"/>
        <v>35.220336315409924</v>
      </c>
      <c r="BB39" s="5">
        <f t="shared" si="17"/>
        <v>34.757925261938396</v>
      </c>
      <c r="BC39" s="5">
        <f t="shared" si="17"/>
        <v>30.46011097028304</v>
      </c>
      <c r="BD39" s="5">
        <f t="shared" si="17"/>
        <v>0</v>
      </c>
      <c r="BE39" s="5">
        <f t="shared" si="17"/>
        <v>0</v>
      </c>
      <c r="BF39" s="5">
        <f t="shared" si="17"/>
        <v>0</v>
      </c>
      <c r="BG39" s="5">
        <f t="shared" si="17"/>
        <v>0</v>
      </c>
      <c r="BH39" s="5">
        <f t="shared" si="17"/>
        <v>0</v>
      </c>
      <c r="BI39" s="5">
        <f t="shared" si="17"/>
        <v>62.807154615683842</v>
      </c>
      <c r="BJ39" s="5">
        <f t="shared" si="17"/>
        <v>0</v>
      </c>
      <c r="BK39" s="5">
        <f t="shared" si="17"/>
        <v>0</v>
      </c>
      <c r="BL39" s="5">
        <f t="shared" si="17"/>
        <v>12.97496636628016</v>
      </c>
      <c r="BM39" s="5">
        <f t="shared" si="17"/>
        <v>0</v>
      </c>
      <c r="BN39" s="5">
        <f t="shared" si="17"/>
        <v>39.774269364375357</v>
      </c>
      <c r="BO39" s="5">
        <f t="shared" si="17"/>
        <v>18.318341461531361</v>
      </c>
      <c r="BP39" s="5">
        <f t="shared" si="17"/>
        <v>0</v>
      </c>
      <c r="BQ39" s="5">
        <f t="shared" ref="BQ39:CB39" si="18">BQ37*$C38</f>
        <v>0</v>
      </c>
      <c r="BR39" s="5">
        <f t="shared" si="18"/>
        <v>0</v>
      </c>
      <c r="BS39" s="5">
        <f t="shared" si="18"/>
        <v>0</v>
      </c>
      <c r="BT39" s="5">
        <f t="shared" si="18"/>
        <v>0</v>
      </c>
      <c r="BU39" s="5">
        <f t="shared" si="18"/>
        <v>0</v>
      </c>
      <c r="BV39" s="5">
        <f t="shared" si="18"/>
        <v>32.880448107975681</v>
      </c>
      <c r="BW39" s="5">
        <f t="shared" si="18"/>
        <v>0</v>
      </c>
      <c r="BX39" s="5">
        <f t="shared" si="18"/>
        <v>17.741025878644638</v>
      </c>
      <c r="BY39" s="5">
        <f t="shared" si="18"/>
        <v>0</v>
      </c>
      <c r="BZ39" s="5">
        <f t="shared" si="18"/>
        <v>0</v>
      </c>
      <c r="CA39" s="5">
        <f t="shared" si="18"/>
        <v>29.613135293682081</v>
      </c>
      <c r="CB39" s="5">
        <f t="shared" si="18"/>
        <v>19.445145322665603</v>
      </c>
      <c r="CD39" s="33"/>
    </row>
    <row r="40" spans="1:82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D40" s="33"/>
    </row>
    <row r="41" spans="1:82" s="32" customFormat="1" x14ac:dyDescent="0.2">
      <c r="A41" s="21"/>
      <c r="B41" s="32" t="s">
        <v>190</v>
      </c>
      <c r="C41" s="15"/>
      <c r="D41" s="15">
        <f t="shared" ref="D41:AI41" si="19">D39*D12</f>
        <v>3430179.6864475152</v>
      </c>
      <c r="E41" s="15">
        <f t="shared" si="19"/>
        <v>0</v>
      </c>
      <c r="F41" s="15">
        <f t="shared" si="19"/>
        <v>0</v>
      </c>
      <c r="G41" s="15">
        <f t="shared" si="19"/>
        <v>0</v>
      </c>
      <c r="H41" s="15">
        <f t="shared" si="19"/>
        <v>41448.937048817526</v>
      </c>
      <c r="I41" s="15">
        <f t="shared" si="19"/>
        <v>0</v>
      </c>
      <c r="J41" s="15">
        <f t="shared" si="19"/>
        <v>0</v>
      </c>
      <c r="K41" s="15">
        <f t="shared" si="19"/>
        <v>0</v>
      </c>
      <c r="L41" s="15">
        <f t="shared" si="19"/>
        <v>0</v>
      </c>
      <c r="M41" s="15">
        <f t="shared" si="19"/>
        <v>0</v>
      </c>
      <c r="N41" s="15">
        <f t="shared" si="19"/>
        <v>63367.327791872514</v>
      </c>
      <c r="O41" s="15">
        <f t="shared" si="19"/>
        <v>0</v>
      </c>
      <c r="P41" s="15">
        <f t="shared" si="19"/>
        <v>0</v>
      </c>
      <c r="Q41" s="15">
        <f t="shared" si="19"/>
        <v>0</v>
      </c>
      <c r="R41" s="15">
        <f t="shared" si="19"/>
        <v>0</v>
      </c>
      <c r="S41" s="15">
        <f t="shared" si="19"/>
        <v>0</v>
      </c>
      <c r="T41" s="15">
        <f t="shared" si="19"/>
        <v>0</v>
      </c>
      <c r="U41" s="15">
        <f t="shared" si="19"/>
        <v>0</v>
      </c>
      <c r="V41" s="15">
        <f t="shared" si="19"/>
        <v>0</v>
      </c>
      <c r="W41" s="15">
        <f t="shared" si="19"/>
        <v>0</v>
      </c>
      <c r="X41" s="15">
        <f t="shared" si="19"/>
        <v>0</v>
      </c>
      <c r="Y41" s="15">
        <f t="shared" si="19"/>
        <v>0</v>
      </c>
      <c r="Z41" s="15">
        <f t="shared" si="19"/>
        <v>0</v>
      </c>
      <c r="AA41" s="15">
        <f t="shared" si="19"/>
        <v>0</v>
      </c>
      <c r="AB41" s="15">
        <f t="shared" si="19"/>
        <v>15853.309947627493</v>
      </c>
      <c r="AC41" s="15">
        <f t="shared" si="19"/>
        <v>332894.19128708018</v>
      </c>
      <c r="AD41" s="15">
        <f t="shared" si="19"/>
        <v>20460.661329756509</v>
      </c>
      <c r="AE41" s="15">
        <f t="shared" si="19"/>
        <v>256828.37352181328</v>
      </c>
      <c r="AF41" s="15">
        <f t="shared" si="19"/>
        <v>0</v>
      </c>
      <c r="AG41" s="15">
        <f t="shared" si="19"/>
        <v>0</v>
      </c>
      <c r="AH41" s="15">
        <f t="shared" si="19"/>
        <v>0</v>
      </c>
      <c r="AI41" s="15">
        <f t="shared" si="19"/>
        <v>0</v>
      </c>
      <c r="AJ41" s="15">
        <f t="shared" ref="AJ41:BO41" si="20">AJ39*AJ12</f>
        <v>121928.71248907642</v>
      </c>
      <c r="AK41" s="15">
        <f t="shared" si="20"/>
        <v>0</v>
      </c>
      <c r="AL41" s="15">
        <f t="shared" si="20"/>
        <v>0</v>
      </c>
      <c r="AM41" s="15">
        <f t="shared" si="20"/>
        <v>0</v>
      </c>
      <c r="AN41" s="15">
        <f t="shared" si="20"/>
        <v>130547.18017166891</v>
      </c>
      <c r="AO41" s="15">
        <f t="shared" si="20"/>
        <v>0</v>
      </c>
      <c r="AP41" s="15">
        <f t="shared" si="20"/>
        <v>0</v>
      </c>
      <c r="AQ41" s="15">
        <f t="shared" si="20"/>
        <v>123543.21440781666</v>
      </c>
      <c r="AR41" s="15">
        <f t="shared" si="20"/>
        <v>76139.033960226909</v>
      </c>
      <c r="AS41" s="15">
        <f t="shared" si="20"/>
        <v>0</v>
      </c>
      <c r="AT41" s="15">
        <f t="shared" si="20"/>
        <v>0</v>
      </c>
      <c r="AU41" s="15">
        <f t="shared" si="20"/>
        <v>0</v>
      </c>
      <c r="AV41" s="15">
        <f t="shared" si="20"/>
        <v>0</v>
      </c>
      <c r="AW41" s="15">
        <f t="shared" si="20"/>
        <v>0</v>
      </c>
      <c r="AX41" s="15">
        <f t="shared" si="20"/>
        <v>85944.696099153152</v>
      </c>
      <c r="AY41" s="15">
        <f t="shared" si="20"/>
        <v>0</v>
      </c>
      <c r="AZ41" s="15">
        <f t="shared" si="20"/>
        <v>0</v>
      </c>
      <c r="BA41" s="15">
        <f t="shared" si="20"/>
        <v>960705.11367543647</v>
      </c>
      <c r="BB41" s="15">
        <f t="shared" si="20"/>
        <v>333119.95571041759</v>
      </c>
      <c r="BC41" s="15">
        <f t="shared" si="20"/>
        <v>79379.049188557605</v>
      </c>
      <c r="BD41" s="15">
        <f t="shared" si="20"/>
        <v>0</v>
      </c>
      <c r="BE41" s="15">
        <f t="shared" si="20"/>
        <v>0</v>
      </c>
      <c r="BF41" s="15">
        <f t="shared" si="20"/>
        <v>0</v>
      </c>
      <c r="BG41" s="15">
        <f t="shared" si="20"/>
        <v>0</v>
      </c>
      <c r="BH41" s="15">
        <f t="shared" si="20"/>
        <v>0</v>
      </c>
      <c r="BI41" s="15">
        <f t="shared" si="20"/>
        <v>253992.13326582545</v>
      </c>
      <c r="BJ41" s="15">
        <f t="shared" si="20"/>
        <v>0</v>
      </c>
      <c r="BK41" s="15">
        <f t="shared" si="20"/>
        <v>0</v>
      </c>
      <c r="BL41" s="15">
        <f t="shared" si="20"/>
        <v>20837.795984245939</v>
      </c>
      <c r="BM41" s="15">
        <f t="shared" si="20"/>
        <v>0</v>
      </c>
      <c r="BN41" s="15">
        <f t="shared" si="20"/>
        <v>361945.85121581575</v>
      </c>
      <c r="BO41" s="15">
        <f t="shared" si="20"/>
        <v>70232.521163511235</v>
      </c>
      <c r="BP41" s="15">
        <f t="shared" ref="BP41:CB41" si="21">BP39*BP12</f>
        <v>0</v>
      </c>
      <c r="BQ41" s="15">
        <f t="shared" si="21"/>
        <v>0</v>
      </c>
      <c r="BR41" s="15">
        <f t="shared" si="21"/>
        <v>0</v>
      </c>
      <c r="BS41" s="15">
        <f t="shared" si="21"/>
        <v>0</v>
      </c>
      <c r="BT41" s="15">
        <f t="shared" si="21"/>
        <v>0</v>
      </c>
      <c r="BU41" s="15">
        <f t="shared" si="21"/>
        <v>0</v>
      </c>
      <c r="BV41" s="15">
        <f t="shared" si="21"/>
        <v>149342.99530642555</v>
      </c>
      <c r="BW41" s="15">
        <f t="shared" si="21"/>
        <v>0</v>
      </c>
      <c r="BX41" s="15">
        <f t="shared" si="21"/>
        <v>55635.857155429585</v>
      </c>
      <c r="BY41" s="15">
        <f t="shared" si="21"/>
        <v>0</v>
      </c>
      <c r="BZ41" s="15">
        <f t="shared" si="21"/>
        <v>0</v>
      </c>
      <c r="CA41" s="15">
        <f t="shared" si="21"/>
        <v>104623.20699257879</v>
      </c>
      <c r="CB41" s="15">
        <f t="shared" si="21"/>
        <v>161919.72510183646</v>
      </c>
      <c r="CC41" s="21"/>
      <c r="CD41" s="33"/>
    </row>
    <row r="42" spans="1:82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D42" s="33"/>
    </row>
    <row r="43" spans="1:82" s="32" customFormat="1" x14ac:dyDescent="0.2">
      <c r="A43" s="63" t="s">
        <v>160</v>
      </c>
      <c r="B43" s="61" t="s">
        <v>184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1"/>
      <c r="CD43" s="63"/>
    </row>
    <row r="44" spans="1:82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D44" s="33"/>
    </row>
    <row r="45" spans="1:82" s="32" customFormat="1" x14ac:dyDescent="0.2">
      <c r="A45" s="30"/>
      <c r="B45" s="30" t="s">
        <v>180</v>
      </c>
      <c r="C45" s="74">
        <f t="shared" ref="C45" si="22">SUM(D45:CB45)</f>
        <v>198379.10663999998</v>
      </c>
      <c r="D45" s="44">
        <v>3937.9027499999997</v>
      </c>
      <c r="E45" s="44">
        <v>1219.8862899999999</v>
      </c>
      <c r="F45" s="44">
        <v>907.13576000000012</v>
      </c>
      <c r="G45" s="44">
        <v>1032.60483</v>
      </c>
      <c r="H45" s="44">
        <v>983.80484000000001</v>
      </c>
      <c r="I45" s="44">
        <v>493.55441000000002</v>
      </c>
      <c r="J45" s="44">
        <v>475.64580999999998</v>
      </c>
      <c r="K45" s="44">
        <v>375.54809</v>
      </c>
      <c r="L45" s="44">
        <v>198.92533</v>
      </c>
      <c r="M45" s="44">
        <v>713.53102000000001</v>
      </c>
      <c r="N45" s="44">
        <v>890.26861000000008</v>
      </c>
      <c r="O45" s="44">
        <v>739.52706000000001</v>
      </c>
      <c r="P45" s="44">
        <v>230.66873999999999</v>
      </c>
      <c r="Q45" s="44">
        <v>1061.3524600000001</v>
      </c>
      <c r="R45" s="44">
        <v>220.49409999999997</v>
      </c>
      <c r="S45" s="44">
        <v>686.86050999999998</v>
      </c>
      <c r="T45" s="44">
        <v>465.38316000000003</v>
      </c>
      <c r="U45" s="44">
        <v>562.10793999999999</v>
      </c>
      <c r="V45" s="44">
        <v>652.02472999999998</v>
      </c>
      <c r="W45" s="44">
        <v>1124.5537000000002</v>
      </c>
      <c r="X45" s="44">
        <v>421.82522</v>
      </c>
      <c r="Y45" s="44">
        <v>439.35968000000003</v>
      </c>
      <c r="Z45" s="44">
        <v>438.05007999999998</v>
      </c>
      <c r="AA45" s="44">
        <v>3946.2256500000003</v>
      </c>
      <c r="AB45" s="44">
        <v>543.72095000000002</v>
      </c>
      <c r="AC45" s="44">
        <v>3460.2139000000002</v>
      </c>
      <c r="AD45" s="44">
        <v>933.35056999999995</v>
      </c>
      <c r="AE45" s="44">
        <v>4156.42029</v>
      </c>
      <c r="AF45" s="44">
        <v>2227.3426199999999</v>
      </c>
      <c r="AG45" s="44">
        <v>5464.7331100000001</v>
      </c>
      <c r="AH45" s="44">
        <v>1595.008</v>
      </c>
      <c r="AI45" s="44">
        <v>3032.67929</v>
      </c>
      <c r="AJ45" s="44">
        <v>4175.16255</v>
      </c>
      <c r="AK45" s="44">
        <v>946.38909000000012</v>
      </c>
      <c r="AL45" s="44">
        <v>3271.6749800000002</v>
      </c>
      <c r="AM45" s="44">
        <v>2539.5592499999998</v>
      </c>
      <c r="AN45" s="44">
        <v>12846.140660000001</v>
      </c>
      <c r="AO45" s="44">
        <v>13910.56006</v>
      </c>
      <c r="AP45" s="44">
        <v>7515.4821499999998</v>
      </c>
      <c r="AQ45" s="44">
        <v>4884.1079399999999</v>
      </c>
      <c r="AR45" s="44">
        <v>7321.0383699999993</v>
      </c>
      <c r="AS45" s="44">
        <v>4761.8225400000001</v>
      </c>
      <c r="AT45" s="44">
        <v>574.88234</v>
      </c>
      <c r="AU45" s="44">
        <v>3990.4293400000001</v>
      </c>
      <c r="AV45" s="44">
        <v>1649.5494799999999</v>
      </c>
      <c r="AW45" s="44">
        <v>1864.1369000000002</v>
      </c>
      <c r="AX45" s="44">
        <v>3358.5925400000001</v>
      </c>
      <c r="AY45" s="44">
        <v>753.53891999999996</v>
      </c>
      <c r="AZ45" s="44">
        <v>597.65724999999998</v>
      </c>
      <c r="BA45" s="44">
        <v>3136.8576499999999</v>
      </c>
      <c r="BB45" s="44">
        <v>5489.1676099999995</v>
      </c>
      <c r="BC45" s="44">
        <v>8752.8400199999996</v>
      </c>
      <c r="BD45" s="44">
        <v>9270.165140000001</v>
      </c>
      <c r="BE45" s="44">
        <v>4354.5886600000003</v>
      </c>
      <c r="BF45" s="44">
        <v>5117.5464599999996</v>
      </c>
      <c r="BG45" s="44">
        <v>282.00812999999999</v>
      </c>
      <c r="BH45" s="44">
        <v>1265.0126399999999</v>
      </c>
      <c r="BI45" s="44">
        <v>4900.1518800000003</v>
      </c>
      <c r="BJ45" s="44">
        <v>2018.86808</v>
      </c>
      <c r="BK45" s="44">
        <v>2183.38481</v>
      </c>
      <c r="BL45" s="44">
        <v>1409.60429</v>
      </c>
      <c r="BM45" s="44">
        <v>5051.0874999999996</v>
      </c>
      <c r="BN45" s="44">
        <v>4253.973</v>
      </c>
      <c r="BO45" s="44">
        <v>1099.4985799999999</v>
      </c>
      <c r="BP45" s="44">
        <v>1407.6019000000001</v>
      </c>
      <c r="BQ45" s="44">
        <v>1449.5028</v>
      </c>
      <c r="BR45" s="44">
        <v>1146.90094</v>
      </c>
      <c r="BS45" s="44">
        <v>1447.74316</v>
      </c>
      <c r="BT45" s="44">
        <v>2081.6392000000001</v>
      </c>
      <c r="BU45" s="44">
        <v>896.7339300000001</v>
      </c>
      <c r="BV45" s="44">
        <v>1773.1269399999999</v>
      </c>
      <c r="BW45" s="44">
        <v>1583.6607000000001</v>
      </c>
      <c r="BX45" s="44">
        <v>1637.1691599999999</v>
      </c>
      <c r="BY45" s="44">
        <v>2750.6227699999999</v>
      </c>
      <c r="BZ45" s="44">
        <v>630.62275</v>
      </c>
      <c r="CA45" s="44">
        <v>3134.3092099999999</v>
      </c>
      <c r="CB45" s="44">
        <v>1263.28487</v>
      </c>
      <c r="CD45" s="30" t="s">
        <v>198</v>
      </c>
    </row>
    <row r="46" spans="1:82" x14ac:dyDescent="0.2">
      <c r="B46" s="3" t="s">
        <v>187</v>
      </c>
      <c r="C46" s="5"/>
      <c r="D46" s="5">
        <f>D45/D12</f>
        <v>5.1753223156788014E-2</v>
      </c>
      <c r="E46" s="5">
        <f t="shared" ref="E46:BP46" si="23">E45/E12</f>
        <v>0.12568373068205232</v>
      </c>
      <c r="F46" s="5">
        <f t="shared" si="23"/>
        <v>0.65261565467625904</v>
      </c>
      <c r="G46" s="5">
        <f t="shared" si="23"/>
        <v>0.84639740163934429</v>
      </c>
      <c r="H46" s="5">
        <f t="shared" si="23"/>
        <v>0.26894610169491528</v>
      </c>
      <c r="I46" s="5">
        <f t="shared" si="23"/>
        <v>5.1931230008417512E-2</v>
      </c>
      <c r="J46" s="5">
        <f t="shared" si="23"/>
        <v>0.13183087860310422</v>
      </c>
      <c r="K46" s="5">
        <f t="shared" si="23"/>
        <v>0.44130210340775561</v>
      </c>
      <c r="L46" s="5">
        <f t="shared" si="23"/>
        <v>0.13833472183588316</v>
      </c>
      <c r="M46" s="5">
        <f t="shared" si="23"/>
        <v>0.68215202676864251</v>
      </c>
      <c r="N46" s="5">
        <f t="shared" si="23"/>
        <v>0.38061932877297994</v>
      </c>
      <c r="O46" s="5">
        <f t="shared" si="23"/>
        <v>0.10017976971010566</v>
      </c>
      <c r="P46" s="5">
        <f t="shared" si="23"/>
        <v>2.4440425937698664E-2</v>
      </c>
      <c r="Q46" s="5">
        <f t="shared" si="23"/>
        <v>0.1616683107387662</v>
      </c>
      <c r="R46" s="5">
        <f t="shared" si="23"/>
        <v>6.4889376103590343E-2</v>
      </c>
      <c r="S46" s="5">
        <f t="shared" si="23"/>
        <v>0.11524505201342282</v>
      </c>
      <c r="T46" s="5">
        <f t="shared" si="23"/>
        <v>5.959574337303112E-2</v>
      </c>
      <c r="U46" s="5">
        <f t="shared" si="23"/>
        <v>0.14281197662601625</v>
      </c>
      <c r="V46" s="5">
        <f t="shared" si="23"/>
        <v>0.13331112860355754</v>
      </c>
      <c r="W46" s="5">
        <f t="shared" si="23"/>
        <v>0.1739448878576953</v>
      </c>
      <c r="X46" s="5">
        <f t="shared" si="23"/>
        <v>4.3237517425174253E-2</v>
      </c>
      <c r="Y46" s="5">
        <f t="shared" si="23"/>
        <v>9.6924703287006406E-2</v>
      </c>
      <c r="Z46" s="5">
        <f t="shared" si="23"/>
        <v>0.20760667298578198</v>
      </c>
      <c r="AA46" s="5">
        <f t="shared" si="23"/>
        <v>0.3322577797423592</v>
      </c>
      <c r="AB46" s="5">
        <f t="shared" si="23"/>
        <v>0.35771115131578951</v>
      </c>
      <c r="AC46" s="5">
        <f t="shared" si="23"/>
        <v>0.38536740171511308</v>
      </c>
      <c r="AD46" s="5">
        <f t="shared" si="23"/>
        <v>0.38696126451077939</v>
      </c>
      <c r="AE46" s="5">
        <f t="shared" si="23"/>
        <v>0.73370172815533985</v>
      </c>
      <c r="AF46" s="5">
        <f t="shared" si="23"/>
        <v>0.62742045633802812</v>
      </c>
      <c r="AG46" s="5">
        <f t="shared" si="23"/>
        <v>0.76461915628935218</v>
      </c>
      <c r="AH46" s="5">
        <f t="shared" si="23"/>
        <v>0.12401897208615194</v>
      </c>
      <c r="AI46" s="5">
        <f t="shared" si="23"/>
        <v>0.59324712245696398</v>
      </c>
      <c r="AJ46" s="5">
        <f t="shared" si="23"/>
        <v>0.78851039660056654</v>
      </c>
      <c r="AK46" s="5">
        <f t="shared" si="23"/>
        <v>0.15264340161290324</v>
      </c>
      <c r="AL46" s="5">
        <f t="shared" si="23"/>
        <v>0.66987612203112212</v>
      </c>
      <c r="AM46" s="5">
        <f t="shared" si="23"/>
        <v>0.40542133620689652</v>
      </c>
      <c r="AN46" s="5">
        <f t="shared" si="23"/>
        <v>8.2558744601542422</v>
      </c>
      <c r="AO46" s="5">
        <f t="shared" si="23"/>
        <v>1.6248756056535452</v>
      </c>
      <c r="AP46" s="5">
        <f t="shared" si="23"/>
        <v>1.537222775618736</v>
      </c>
      <c r="AQ46" s="5">
        <f t="shared" si="23"/>
        <v>0.85611006836108672</v>
      </c>
      <c r="AR46" s="5">
        <f t="shared" si="23"/>
        <v>2.4825494642251607</v>
      </c>
      <c r="AS46" s="5">
        <f t="shared" si="23"/>
        <v>2.6120803839824465</v>
      </c>
      <c r="AT46" s="5">
        <f t="shared" si="23"/>
        <v>0.33481790331974376</v>
      </c>
      <c r="AU46" s="5">
        <f t="shared" si="23"/>
        <v>1.0295225335397318</v>
      </c>
      <c r="AV46" s="5">
        <f t="shared" si="23"/>
        <v>0.55316883970489605</v>
      </c>
      <c r="AW46" s="5">
        <f t="shared" si="23"/>
        <v>0.37858182372055244</v>
      </c>
      <c r="AX46" s="5">
        <f t="shared" si="23"/>
        <v>0.64365514373323118</v>
      </c>
      <c r="AY46" s="5">
        <f t="shared" si="23"/>
        <v>0.11612558483587609</v>
      </c>
      <c r="AZ46" s="5">
        <f t="shared" si="23"/>
        <v>0.15869815454062666</v>
      </c>
      <c r="BA46" s="5">
        <f t="shared" si="23"/>
        <v>0.11500009715144627</v>
      </c>
      <c r="BB46" s="5">
        <f t="shared" si="23"/>
        <v>0.57274286414858089</v>
      </c>
      <c r="BC46" s="5">
        <f t="shared" si="23"/>
        <v>3.3587260245587105</v>
      </c>
      <c r="BD46" s="5">
        <f t="shared" si="23"/>
        <v>2.6149972186177717</v>
      </c>
      <c r="BE46" s="5">
        <f t="shared" si="23"/>
        <v>0.87074358328334345</v>
      </c>
      <c r="BF46" s="5">
        <f t="shared" si="23"/>
        <v>0.58412812007761661</v>
      </c>
      <c r="BG46" s="5">
        <f t="shared" si="23"/>
        <v>0.14873846518987341</v>
      </c>
      <c r="BH46" s="5">
        <f t="shared" si="23"/>
        <v>1.0112011510791366</v>
      </c>
      <c r="BI46" s="5">
        <f t="shared" si="23"/>
        <v>1.2117091691394659</v>
      </c>
      <c r="BJ46" s="5">
        <f t="shared" si="23"/>
        <v>2.2382129490022171</v>
      </c>
      <c r="BK46" s="5">
        <f t="shared" si="23"/>
        <v>0.4378152817325045</v>
      </c>
      <c r="BL46" s="5">
        <f t="shared" si="23"/>
        <v>0.87771126400996269</v>
      </c>
      <c r="BM46" s="5">
        <f t="shared" si="23"/>
        <v>1.7741789603090972</v>
      </c>
      <c r="BN46" s="5">
        <f t="shared" si="23"/>
        <v>0.46746956043956045</v>
      </c>
      <c r="BO46" s="5">
        <f t="shared" si="23"/>
        <v>0.28677584246218046</v>
      </c>
      <c r="BP46" s="5">
        <f t="shared" si="23"/>
        <v>0.21983474933624866</v>
      </c>
      <c r="BQ46" s="5">
        <f t="shared" ref="BQ46:CB46" si="24">BQ45/BQ12</f>
        <v>0.11040466143651459</v>
      </c>
      <c r="BR46" s="5">
        <f t="shared" si="24"/>
        <v>0.11001447865707434</v>
      </c>
      <c r="BS46" s="5">
        <f t="shared" si="24"/>
        <v>0.35130870177141471</v>
      </c>
      <c r="BT46" s="5">
        <f t="shared" si="24"/>
        <v>8.6164129309988E-2</v>
      </c>
      <c r="BU46" s="5">
        <f t="shared" si="24"/>
        <v>0.18713145450751253</v>
      </c>
      <c r="BV46" s="5">
        <f t="shared" si="24"/>
        <v>0.39038461911052397</v>
      </c>
      <c r="BW46" s="5">
        <f t="shared" si="24"/>
        <v>1.0522662458471761</v>
      </c>
      <c r="BX46" s="5">
        <f t="shared" si="24"/>
        <v>0.52205649234693874</v>
      </c>
      <c r="BY46" s="5">
        <f t="shared" si="24"/>
        <v>0.15190097028937485</v>
      </c>
      <c r="BZ46" s="5">
        <f t="shared" si="24"/>
        <v>0.31546910955477736</v>
      </c>
      <c r="CA46" s="5">
        <f t="shared" si="24"/>
        <v>0.88715233795641091</v>
      </c>
      <c r="CB46" s="5">
        <f t="shared" si="24"/>
        <v>0.15170948360754172</v>
      </c>
      <c r="CD46" s="33"/>
    </row>
    <row r="47" spans="1:82" x14ac:dyDescent="0.2">
      <c r="B47" s="38" t="s">
        <v>192</v>
      </c>
      <c r="C47" s="12">
        <v>29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D47" s="33" t="s">
        <v>199</v>
      </c>
    </row>
    <row r="48" spans="1:82" x14ac:dyDescent="0.2">
      <c r="B48" s="38" t="s">
        <v>189</v>
      </c>
      <c r="C48" s="5"/>
      <c r="D48" s="5">
        <f>D46*$C47</f>
        <v>1.5008434715468524</v>
      </c>
      <c r="E48" s="5">
        <f t="shared" ref="E48:BP48" si="25">E46*$C47</f>
        <v>3.6448281897795174</v>
      </c>
      <c r="F48" s="5">
        <f t="shared" si="25"/>
        <v>18.925853985611511</v>
      </c>
      <c r="G48" s="5">
        <f t="shared" si="25"/>
        <v>24.545524647540983</v>
      </c>
      <c r="H48" s="5">
        <f t="shared" si="25"/>
        <v>7.7994369491525433</v>
      </c>
      <c r="I48" s="5">
        <f t="shared" si="25"/>
        <v>1.5060056702441078</v>
      </c>
      <c r="J48" s="5">
        <f t="shared" si="25"/>
        <v>3.8230954794900223</v>
      </c>
      <c r="K48" s="5">
        <f t="shared" si="25"/>
        <v>12.797760998824913</v>
      </c>
      <c r="L48" s="5">
        <f t="shared" si="25"/>
        <v>4.0117069332406121</v>
      </c>
      <c r="M48" s="5">
        <f t="shared" si="25"/>
        <v>19.782408776290634</v>
      </c>
      <c r="N48" s="5">
        <f t="shared" si="25"/>
        <v>11.037960534416419</v>
      </c>
      <c r="O48" s="5">
        <f t="shared" si="25"/>
        <v>2.905213321593064</v>
      </c>
      <c r="P48" s="5">
        <f t="shared" si="25"/>
        <v>0.70877235219326129</v>
      </c>
      <c r="Q48" s="5">
        <f t="shared" si="25"/>
        <v>4.6883810114242195</v>
      </c>
      <c r="R48" s="5">
        <f t="shared" si="25"/>
        <v>1.88179190700412</v>
      </c>
      <c r="S48" s="5">
        <f t="shared" si="25"/>
        <v>3.3421065083892616</v>
      </c>
      <c r="T48" s="5">
        <f t="shared" si="25"/>
        <v>1.7282765578179025</v>
      </c>
      <c r="U48" s="5">
        <f t="shared" si="25"/>
        <v>4.1415473221544712</v>
      </c>
      <c r="V48" s="5">
        <f t="shared" si="25"/>
        <v>3.8660227295031686</v>
      </c>
      <c r="W48" s="5">
        <f t="shared" si="25"/>
        <v>5.044401747873164</v>
      </c>
      <c r="X48" s="5">
        <f t="shared" si="25"/>
        <v>1.2538880053300534</v>
      </c>
      <c r="Y48" s="5">
        <f t="shared" si="25"/>
        <v>2.8108163953231857</v>
      </c>
      <c r="Z48" s="5">
        <f t="shared" si="25"/>
        <v>6.0205935165876774</v>
      </c>
      <c r="AA48" s="5">
        <f t="shared" si="25"/>
        <v>9.6354756125284169</v>
      </c>
      <c r="AB48" s="5">
        <f t="shared" si="25"/>
        <v>10.373623388157895</v>
      </c>
      <c r="AC48" s="5">
        <f t="shared" si="25"/>
        <v>11.175654649738279</v>
      </c>
      <c r="AD48" s="5">
        <f t="shared" si="25"/>
        <v>11.221876670812602</v>
      </c>
      <c r="AE48" s="5">
        <f t="shared" si="25"/>
        <v>21.277350116504856</v>
      </c>
      <c r="AF48" s="5">
        <f t="shared" si="25"/>
        <v>18.195193233802815</v>
      </c>
      <c r="AG48" s="5">
        <f t="shared" si="25"/>
        <v>22.173955532391211</v>
      </c>
      <c r="AH48" s="5">
        <f t="shared" si="25"/>
        <v>3.5965501904984061</v>
      </c>
      <c r="AI48" s="5">
        <f t="shared" si="25"/>
        <v>17.204166551251955</v>
      </c>
      <c r="AJ48" s="5">
        <f t="shared" si="25"/>
        <v>22.866801501416429</v>
      </c>
      <c r="AK48" s="5">
        <f t="shared" si="25"/>
        <v>4.426658646774194</v>
      </c>
      <c r="AL48" s="5">
        <f t="shared" si="25"/>
        <v>19.426407538902541</v>
      </c>
      <c r="AM48" s="5">
        <f t="shared" si="25"/>
        <v>11.75721875</v>
      </c>
      <c r="AN48" s="5">
        <f t="shared" si="25"/>
        <v>239.42035934447301</v>
      </c>
      <c r="AO48" s="5">
        <f t="shared" si="25"/>
        <v>47.12139256395281</v>
      </c>
      <c r="AP48" s="5">
        <f t="shared" si="25"/>
        <v>44.57946049294334</v>
      </c>
      <c r="AQ48" s="5">
        <f t="shared" si="25"/>
        <v>24.827191982471515</v>
      </c>
      <c r="AR48" s="5">
        <f t="shared" si="25"/>
        <v>71.993934462529666</v>
      </c>
      <c r="AS48" s="5">
        <f t="shared" si="25"/>
        <v>75.750331135490953</v>
      </c>
      <c r="AT48" s="5">
        <f t="shared" si="25"/>
        <v>9.7097191962725695</v>
      </c>
      <c r="AU48" s="5">
        <f t="shared" si="25"/>
        <v>29.85615347265222</v>
      </c>
      <c r="AV48" s="5">
        <f t="shared" si="25"/>
        <v>16.041896351441984</v>
      </c>
      <c r="AW48" s="5">
        <f t="shared" si="25"/>
        <v>10.978872887896021</v>
      </c>
      <c r="AX48" s="5">
        <f t="shared" si="25"/>
        <v>18.665999168263703</v>
      </c>
      <c r="AY48" s="5">
        <f t="shared" si="25"/>
        <v>3.3676419602404066</v>
      </c>
      <c r="AZ48" s="5">
        <f t="shared" si="25"/>
        <v>4.602246481678173</v>
      </c>
      <c r="BA48" s="5">
        <f t="shared" si="25"/>
        <v>3.3350028173919419</v>
      </c>
      <c r="BB48" s="5">
        <f t="shared" si="25"/>
        <v>16.609543060308845</v>
      </c>
      <c r="BC48" s="5">
        <f t="shared" si="25"/>
        <v>97.403054712202604</v>
      </c>
      <c r="BD48" s="5">
        <f t="shared" si="25"/>
        <v>75.834919339915373</v>
      </c>
      <c r="BE48" s="5">
        <f t="shared" si="25"/>
        <v>25.251563915216959</v>
      </c>
      <c r="BF48" s="5">
        <f t="shared" si="25"/>
        <v>16.939715482250882</v>
      </c>
      <c r="BG48" s="5">
        <f t="shared" si="25"/>
        <v>4.3134154905063289</v>
      </c>
      <c r="BH48" s="5">
        <f t="shared" si="25"/>
        <v>29.324833381294958</v>
      </c>
      <c r="BI48" s="5">
        <f t="shared" si="25"/>
        <v>35.139565905044513</v>
      </c>
      <c r="BJ48" s="5">
        <f t="shared" si="25"/>
        <v>64.908175521064294</v>
      </c>
      <c r="BK48" s="5">
        <f t="shared" si="25"/>
        <v>12.696643170242631</v>
      </c>
      <c r="BL48" s="5">
        <f t="shared" si="25"/>
        <v>25.453626656288918</v>
      </c>
      <c r="BM48" s="5">
        <f t="shared" si="25"/>
        <v>51.451189848963821</v>
      </c>
      <c r="BN48" s="5">
        <f t="shared" si="25"/>
        <v>13.556617252747253</v>
      </c>
      <c r="BO48" s="5">
        <f t="shared" si="25"/>
        <v>8.3164994314032334</v>
      </c>
      <c r="BP48" s="5">
        <f t="shared" si="25"/>
        <v>6.3752077307512112</v>
      </c>
      <c r="BQ48" s="5">
        <f t="shared" ref="BQ48:CB48" si="26">BQ46*$C47</f>
        <v>3.2017351816589232</v>
      </c>
      <c r="BR48" s="5">
        <f t="shared" si="26"/>
        <v>3.1904198810551558</v>
      </c>
      <c r="BS48" s="5">
        <f t="shared" si="26"/>
        <v>10.187952351371028</v>
      </c>
      <c r="BT48" s="5">
        <f t="shared" si="26"/>
        <v>2.4987597499896519</v>
      </c>
      <c r="BU48" s="5">
        <f t="shared" si="26"/>
        <v>5.4268121807178638</v>
      </c>
      <c r="BV48" s="5">
        <f t="shared" si="26"/>
        <v>11.321153954205196</v>
      </c>
      <c r="BW48" s="5">
        <f t="shared" si="26"/>
        <v>30.515721129568107</v>
      </c>
      <c r="BX48" s="5">
        <f t="shared" si="26"/>
        <v>15.139638278061224</v>
      </c>
      <c r="BY48" s="5">
        <f t="shared" si="26"/>
        <v>4.4051281383918708</v>
      </c>
      <c r="BZ48" s="5">
        <f t="shared" si="26"/>
        <v>9.1486041770885436</v>
      </c>
      <c r="CA48" s="5">
        <f t="shared" si="26"/>
        <v>25.727417800735918</v>
      </c>
      <c r="CB48" s="5">
        <f t="shared" si="26"/>
        <v>4.3995750246187102</v>
      </c>
      <c r="CD48" s="33"/>
    </row>
    <row r="49" spans="1:82" x14ac:dyDescent="0.2">
      <c r="B49" s="3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D49" s="33"/>
    </row>
    <row r="50" spans="1:82" s="32" customFormat="1" x14ac:dyDescent="0.2">
      <c r="A50" s="21"/>
      <c r="B50" s="32" t="s">
        <v>190</v>
      </c>
      <c r="C50" s="15"/>
      <c r="D50" s="15">
        <f t="shared" ref="D50:AI50" si="27">D48*D12</f>
        <v>114199.17975</v>
      </c>
      <c r="E50" s="15">
        <f t="shared" si="27"/>
        <v>35376.702409999998</v>
      </c>
      <c r="F50" s="15">
        <f t="shared" si="27"/>
        <v>26306.937040000001</v>
      </c>
      <c r="G50" s="15">
        <f t="shared" si="27"/>
        <v>29945.540069999999</v>
      </c>
      <c r="H50" s="15">
        <f t="shared" si="27"/>
        <v>28530.340360000002</v>
      </c>
      <c r="I50" s="15">
        <f t="shared" si="27"/>
        <v>14313.07789</v>
      </c>
      <c r="J50" s="15">
        <f t="shared" si="27"/>
        <v>13793.72849</v>
      </c>
      <c r="K50" s="15">
        <f t="shared" si="27"/>
        <v>10890.894610000001</v>
      </c>
      <c r="L50" s="15">
        <f t="shared" si="27"/>
        <v>5768.83457</v>
      </c>
      <c r="M50" s="15">
        <f t="shared" si="27"/>
        <v>20692.399580000001</v>
      </c>
      <c r="N50" s="15">
        <f t="shared" si="27"/>
        <v>25817.789690000005</v>
      </c>
      <c r="O50" s="15">
        <f t="shared" si="27"/>
        <v>21446.284739999999</v>
      </c>
      <c r="P50" s="15">
        <f t="shared" si="27"/>
        <v>6689.3934600000002</v>
      </c>
      <c r="Q50" s="15">
        <f t="shared" si="27"/>
        <v>30779.22134</v>
      </c>
      <c r="R50" s="15">
        <f t="shared" si="27"/>
        <v>6394.3288999999995</v>
      </c>
      <c r="S50" s="15">
        <f t="shared" si="27"/>
        <v>19918.95479</v>
      </c>
      <c r="T50" s="15">
        <f t="shared" si="27"/>
        <v>13496.111640000001</v>
      </c>
      <c r="U50" s="15">
        <f t="shared" si="27"/>
        <v>16301.130259999998</v>
      </c>
      <c r="V50" s="15">
        <f t="shared" si="27"/>
        <v>18908.717169999996</v>
      </c>
      <c r="W50" s="15">
        <f t="shared" si="27"/>
        <v>32612.057300000004</v>
      </c>
      <c r="X50" s="15">
        <f t="shared" si="27"/>
        <v>12232.931380000002</v>
      </c>
      <c r="Y50" s="15">
        <f t="shared" si="27"/>
        <v>12741.43072</v>
      </c>
      <c r="Z50" s="15">
        <f t="shared" si="27"/>
        <v>12703.452319999999</v>
      </c>
      <c r="AA50" s="15">
        <f t="shared" si="27"/>
        <v>114440.54385</v>
      </c>
      <c r="AB50" s="15">
        <f t="shared" si="27"/>
        <v>15767.907550000002</v>
      </c>
      <c r="AC50" s="15">
        <f t="shared" si="27"/>
        <v>100346.20310000001</v>
      </c>
      <c r="AD50" s="15">
        <f t="shared" si="27"/>
        <v>27067.166529999995</v>
      </c>
      <c r="AE50" s="15">
        <f t="shared" si="27"/>
        <v>120536.18841</v>
      </c>
      <c r="AF50" s="15">
        <f t="shared" si="27"/>
        <v>64592.935979999995</v>
      </c>
      <c r="AG50" s="15">
        <f t="shared" si="27"/>
        <v>158477.26019</v>
      </c>
      <c r="AH50" s="15">
        <f t="shared" si="27"/>
        <v>46255.232000000004</v>
      </c>
      <c r="AI50" s="15">
        <f t="shared" si="27"/>
        <v>87947.699410000001</v>
      </c>
      <c r="AJ50" s="15">
        <f t="shared" ref="AJ50:BO50" si="28">AJ48*AJ12</f>
        <v>121079.71394999999</v>
      </c>
      <c r="AK50" s="15">
        <f t="shared" si="28"/>
        <v>27445.283610000002</v>
      </c>
      <c r="AL50" s="15">
        <f t="shared" si="28"/>
        <v>94878.574420000019</v>
      </c>
      <c r="AM50" s="15">
        <f t="shared" si="28"/>
        <v>73647.218250000005</v>
      </c>
      <c r="AN50" s="15">
        <f t="shared" si="28"/>
        <v>372538.07913999999</v>
      </c>
      <c r="AO50" s="15">
        <f t="shared" si="28"/>
        <v>403406.24174000003</v>
      </c>
      <c r="AP50" s="15">
        <f t="shared" si="28"/>
        <v>217948.98235000001</v>
      </c>
      <c r="AQ50" s="15">
        <f t="shared" si="28"/>
        <v>141639.13026000001</v>
      </c>
      <c r="AR50" s="15">
        <f t="shared" si="28"/>
        <v>212310.11272999999</v>
      </c>
      <c r="AS50" s="15">
        <f t="shared" si="28"/>
        <v>138092.85365999999</v>
      </c>
      <c r="AT50" s="15">
        <f t="shared" si="28"/>
        <v>16671.587860000003</v>
      </c>
      <c r="AU50" s="15">
        <f t="shared" si="28"/>
        <v>115722.45086000001</v>
      </c>
      <c r="AV50" s="15">
        <f t="shared" si="28"/>
        <v>47836.93492</v>
      </c>
      <c r="AW50" s="15">
        <f t="shared" si="28"/>
        <v>54059.970100000006</v>
      </c>
      <c r="AX50" s="15">
        <f t="shared" si="28"/>
        <v>97399.183659999995</v>
      </c>
      <c r="AY50" s="15">
        <f t="shared" si="28"/>
        <v>21852.628679999998</v>
      </c>
      <c r="AZ50" s="15">
        <f t="shared" si="28"/>
        <v>17332.060249999999</v>
      </c>
      <c r="BA50" s="15">
        <f t="shared" si="28"/>
        <v>90968.871849999996</v>
      </c>
      <c r="BB50" s="15">
        <f t="shared" si="28"/>
        <v>159185.86068999997</v>
      </c>
      <c r="BC50" s="15">
        <f t="shared" si="28"/>
        <v>253832.36057999998</v>
      </c>
      <c r="BD50" s="15">
        <f t="shared" si="28"/>
        <v>268834.78905999998</v>
      </c>
      <c r="BE50" s="15">
        <f t="shared" si="28"/>
        <v>126283.07114000001</v>
      </c>
      <c r="BF50" s="15">
        <f t="shared" si="28"/>
        <v>148408.84733999998</v>
      </c>
      <c r="BG50" s="15">
        <f t="shared" si="28"/>
        <v>8178.2357699999993</v>
      </c>
      <c r="BH50" s="15">
        <f t="shared" si="28"/>
        <v>36685.366559999995</v>
      </c>
      <c r="BI50" s="15">
        <f t="shared" si="28"/>
        <v>142104.40452000001</v>
      </c>
      <c r="BJ50" s="15">
        <f t="shared" si="28"/>
        <v>58547.174319999991</v>
      </c>
      <c r="BK50" s="15">
        <f t="shared" si="28"/>
        <v>63318.159489999998</v>
      </c>
      <c r="BL50" s="15">
        <f t="shared" si="28"/>
        <v>40878.524410000005</v>
      </c>
      <c r="BM50" s="15">
        <f t="shared" si="28"/>
        <v>146481.53750000001</v>
      </c>
      <c r="BN50" s="15">
        <f t="shared" si="28"/>
        <v>123365.217</v>
      </c>
      <c r="BO50" s="15">
        <f t="shared" si="28"/>
        <v>31885.458819999996</v>
      </c>
      <c r="BP50" s="15">
        <f t="shared" ref="BP50:CB50" si="29">BP48*BP12</f>
        <v>40820.455100000006</v>
      </c>
      <c r="BQ50" s="15">
        <f t="shared" si="29"/>
        <v>42035.581200000001</v>
      </c>
      <c r="BR50" s="15">
        <f t="shared" si="29"/>
        <v>33260.127260000001</v>
      </c>
      <c r="BS50" s="15">
        <f t="shared" si="29"/>
        <v>41984.551640000005</v>
      </c>
      <c r="BT50" s="15">
        <f t="shared" si="29"/>
        <v>60367.536800000002</v>
      </c>
      <c r="BU50" s="15">
        <f t="shared" si="29"/>
        <v>26005.283970000004</v>
      </c>
      <c r="BV50" s="15">
        <f t="shared" si="29"/>
        <v>51420.681259999998</v>
      </c>
      <c r="BW50" s="15">
        <f t="shared" si="29"/>
        <v>45926.160300000003</v>
      </c>
      <c r="BX50" s="15">
        <f t="shared" si="29"/>
        <v>47477.905639999997</v>
      </c>
      <c r="BY50" s="15">
        <f t="shared" si="29"/>
        <v>79768.060329999993</v>
      </c>
      <c r="BZ50" s="15">
        <f t="shared" si="29"/>
        <v>18288.05975</v>
      </c>
      <c r="CA50" s="15">
        <f t="shared" si="29"/>
        <v>90894.967089999991</v>
      </c>
      <c r="CB50" s="15">
        <f t="shared" si="29"/>
        <v>36635.261229999996</v>
      </c>
      <c r="CC50" s="21"/>
      <c r="CD50" s="33"/>
    </row>
    <row r="51" spans="1:82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D51" s="33"/>
    </row>
    <row r="52" spans="1:82" s="32" customFormat="1" x14ac:dyDescent="0.2">
      <c r="A52" s="63" t="s">
        <v>171</v>
      </c>
      <c r="B52" s="61" t="s">
        <v>194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1"/>
      <c r="CD52" s="63"/>
    </row>
    <row r="53" spans="1:82" x14ac:dyDescent="0.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D53" s="33"/>
    </row>
    <row r="54" spans="1:82" x14ac:dyDescent="0.2">
      <c r="B54" s="3" t="s">
        <v>195</v>
      </c>
      <c r="C54" s="12">
        <v>320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D54" s="33" t="s">
        <v>199</v>
      </c>
    </row>
    <row r="55" spans="1:82" x14ac:dyDescent="0.2">
      <c r="A55" s="38"/>
      <c r="B55" s="3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38"/>
      <c r="CD55" s="30"/>
    </row>
    <row r="56" spans="1:82" s="32" customFormat="1" x14ac:dyDescent="0.2">
      <c r="A56" s="21"/>
      <c r="B56" s="21" t="s">
        <v>196</v>
      </c>
      <c r="C56" s="15"/>
      <c r="D56" s="15">
        <f t="shared" ref="D56:AI56" si="30">D12*$C54*-1</f>
        <v>-24348800</v>
      </c>
      <c r="E56" s="15">
        <f t="shared" si="30"/>
        <v>-3105920</v>
      </c>
      <c r="F56" s="15">
        <f t="shared" si="30"/>
        <v>-444800</v>
      </c>
      <c r="G56" s="15">
        <f t="shared" si="30"/>
        <v>-390400</v>
      </c>
      <c r="H56" s="15">
        <f t="shared" si="30"/>
        <v>-1170560</v>
      </c>
      <c r="I56" s="15">
        <f t="shared" si="30"/>
        <v>-3041280</v>
      </c>
      <c r="J56" s="15">
        <f t="shared" si="30"/>
        <v>-1154560</v>
      </c>
      <c r="K56" s="15">
        <f t="shared" si="30"/>
        <v>-272320</v>
      </c>
      <c r="L56" s="15">
        <f t="shared" si="30"/>
        <v>-460160</v>
      </c>
      <c r="M56" s="15">
        <f t="shared" si="30"/>
        <v>-334720</v>
      </c>
      <c r="N56" s="15">
        <f t="shared" si="30"/>
        <v>-748480</v>
      </c>
      <c r="O56" s="15">
        <f t="shared" si="30"/>
        <v>-2362240</v>
      </c>
      <c r="P56" s="15">
        <f t="shared" si="30"/>
        <v>-3020160</v>
      </c>
      <c r="Q56" s="15">
        <f t="shared" si="30"/>
        <v>-2100800</v>
      </c>
      <c r="R56" s="15">
        <f t="shared" si="30"/>
        <v>-1087360</v>
      </c>
      <c r="S56" s="15">
        <f t="shared" si="30"/>
        <v>-1907200</v>
      </c>
      <c r="T56" s="15">
        <f t="shared" si="30"/>
        <v>-2498880</v>
      </c>
      <c r="U56" s="15">
        <f t="shared" si="30"/>
        <v>-1259520</v>
      </c>
      <c r="V56" s="15">
        <f t="shared" si="30"/>
        <v>-1565120</v>
      </c>
      <c r="W56" s="15">
        <f t="shared" si="30"/>
        <v>-2068800</v>
      </c>
      <c r="X56" s="15">
        <f t="shared" si="30"/>
        <v>-3121920</v>
      </c>
      <c r="Y56" s="15">
        <f t="shared" si="30"/>
        <v>-1450560</v>
      </c>
      <c r="Z56" s="15">
        <f t="shared" si="30"/>
        <v>-675200</v>
      </c>
      <c r="AA56" s="15">
        <f t="shared" si="30"/>
        <v>-3800640</v>
      </c>
      <c r="AB56" s="15">
        <f t="shared" si="30"/>
        <v>-486400</v>
      </c>
      <c r="AC56" s="15">
        <f t="shared" si="30"/>
        <v>-2873280</v>
      </c>
      <c r="AD56" s="15">
        <f t="shared" si="30"/>
        <v>-771840</v>
      </c>
      <c r="AE56" s="15">
        <f t="shared" si="30"/>
        <v>-1812800</v>
      </c>
      <c r="AF56" s="15">
        <f t="shared" si="30"/>
        <v>-1136000</v>
      </c>
      <c r="AG56" s="15">
        <f t="shared" si="30"/>
        <v>-2287040</v>
      </c>
      <c r="AH56" s="15">
        <f t="shared" si="30"/>
        <v>-4115520</v>
      </c>
      <c r="AI56" s="15">
        <f t="shared" si="30"/>
        <v>-1635840</v>
      </c>
      <c r="AJ56" s="15">
        <f t="shared" ref="AJ56:BO56" si="31">AJ12*$C54*-1</f>
        <v>-1694400</v>
      </c>
      <c r="AK56" s="15">
        <f t="shared" si="31"/>
        <v>-1984000</v>
      </c>
      <c r="AL56" s="15">
        <f t="shared" si="31"/>
        <v>-1562880</v>
      </c>
      <c r="AM56" s="15">
        <f t="shared" si="31"/>
        <v>-2004480</v>
      </c>
      <c r="AN56" s="15">
        <f t="shared" si="31"/>
        <v>-497920</v>
      </c>
      <c r="AO56" s="15">
        <f t="shared" si="31"/>
        <v>-2739520</v>
      </c>
      <c r="AP56" s="15">
        <f t="shared" si="31"/>
        <v>-1564480</v>
      </c>
      <c r="AQ56" s="15">
        <f t="shared" si="31"/>
        <v>-1825600</v>
      </c>
      <c r="AR56" s="15">
        <f t="shared" si="31"/>
        <v>-943680</v>
      </c>
      <c r="AS56" s="15">
        <f t="shared" si="31"/>
        <v>-583360</v>
      </c>
      <c r="AT56" s="15">
        <f t="shared" si="31"/>
        <v>-549440</v>
      </c>
      <c r="AU56" s="15">
        <f t="shared" si="31"/>
        <v>-1240320</v>
      </c>
      <c r="AV56" s="15">
        <f t="shared" si="31"/>
        <v>-954240</v>
      </c>
      <c r="AW56" s="15">
        <f t="shared" si="31"/>
        <v>-1575680</v>
      </c>
      <c r="AX56" s="15">
        <f t="shared" si="31"/>
        <v>-1669760</v>
      </c>
      <c r="AY56" s="15">
        <f t="shared" si="31"/>
        <v>-2076480</v>
      </c>
      <c r="AZ56" s="15">
        <f t="shared" si="31"/>
        <v>-1205120</v>
      </c>
      <c r="BA56" s="15">
        <f t="shared" si="31"/>
        <v>-8728640</v>
      </c>
      <c r="BB56" s="15">
        <f t="shared" si="31"/>
        <v>-3066880</v>
      </c>
      <c r="BC56" s="15">
        <f t="shared" si="31"/>
        <v>-833920</v>
      </c>
      <c r="BD56" s="15">
        <f t="shared" si="31"/>
        <v>-1134400</v>
      </c>
      <c r="BE56" s="15">
        <f t="shared" si="31"/>
        <v>-1600320</v>
      </c>
      <c r="BF56" s="15">
        <f t="shared" si="31"/>
        <v>-2803520</v>
      </c>
      <c r="BG56" s="15">
        <f t="shared" si="31"/>
        <v>-606720</v>
      </c>
      <c r="BH56" s="15">
        <f t="shared" si="31"/>
        <v>-400320</v>
      </c>
      <c r="BI56" s="15">
        <f t="shared" si="31"/>
        <v>-1294080</v>
      </c>
      <c r="BJ56" s="15">
        <f t="shared" si="31"/>
        <v>-288640</v>
      </c>
      <c r="BK56" s="15">
        <f t="shared" si="31"/>
        <v>-1595840</v>
      </c>
      <c r="BL56" s="15">
        <f t="shared" si="31"/>
        <v>-513920</v>
      </c>
      <c r="BM56" s="15">
        <f t="shared" si="31"/>
        <v>-911040</v>
      </c>
      <c r="BN56" s="15">
        <f t="shared" si="31"/>
        <v>-2912000</v>
      </c>
      <c r="BO56" s="15">
        <f t="shared" si="31"/>
        <v>-1226880</v>
      </c>
      <c r="BP56" s="15">
        <f t="shared" ref="BP56:CB56" si="32">BP12*$C54*-1</f>
        <v>-2048960</v>
      </c>
      <c r="BQ56" s="15">
        <f t="shared" si="32"/>
        <v>-4201280</v>
      </c>
      <c r="BR56" s="15">
        <f t="shared" si="32"/>
        <v>-3336000</v>
      </c>
      <c r="BS56" s="15">
        <f t="shared" si="32"/>
        <v>-1318720</v>
      </c>
      <c r="BT56" s="15">
        <f t="shared" si="32"/>
        <v>-7730880</v>
      </c>
      <c r="BU56" s="15">
        <f t="shared" si="32"/>
        <v>-1533440</v>
      </c>
      <c r="BV56" s="15">
        <f t="shared" si="32"/>
        <v>-1453440</v>
      </c>
      <c r="BW56" s="15">
        <f t="shared" si="32"/>
        <v>-481600</v>
      </c>
      <c r="BX56" s="15">
        <f t="shared" si="32"/>
        <v>-1003520</v>
      </c>
      <c r="BY56" s="15">
        <f t="shared" si="32"/>
        <v>-5794560</v>
      </c>
      <c r="BZ56" s="15">
        <f t="shared" si="32"/>
        <v>-639680</v>
      </c>
      <c r="CA56" s="15">
        <f t="shared" si="32"/>
        <v>-1130560</v>
      </c>
      <c r="CB56" s="15">
        <f t="shared" si="32"/>
        <v>-2664640</v>
      </c>
      <c r="CC56" s="21"/>
      <c r="CD56" s="33"/>
    </row>
    <row r="57" spans="1:82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D57" s="33"/>
    </row>
    <row r="58" spans="1:82" s="32" customFormat="1" x14ac:dyDescent="0.2">
      <c r="A58" s="63" t="s">
        <v>172</v>
      </c>
      <c r="B58" s="61" t="s">
        <v>193</v>
      </c>
      <c r="C58" s="62"/>
      <c r="D58" s="62">
        <f>IF((D24+D33+D41+D50+D56)&lt;0,0,D24+D33+D41+D50+D56)</f>
        <v>0</v>
      </c>
      <c r="E58" s="62">
        <f>IF((E24+E33+E41+E50+E56)&lt;0,0,E24+E33+E41+E50+E56)</f>
        <v>0</v>
      </c>
      <c r="F58" s="62">
        <f>IF((F24+F33+F41+F50+F56)&lt;0,0,F24+F33+F41+F50+F56)</f>
        <v>402879.1330400001</v>
      </c>
      <c r="G58" s="62">
        <f>IF((G24+G33+G41+G50+G56)&lt;0,0,G24+G33+G41+G50+G56)</f>
        <v>636905.79406999995</v>
      </c>
      <c r="H58" s="62">
        <f t="shared" ref="H58:BS58" si="33">IF((H24+H33+H41+H50+H56)&lt;0,0,H24+H33+H41+H50+H56)</f>
        <v>79579.881008817349</v>
      </c>
      <c r="I58" s="62">
        <f t="shared" si="33"/>
        <v>0</v>
      </c>
      <c r="J58" s="62">
        <f t="shared" si="33"/>
        <v>0</v>
      </c>
      <c r="K58" s="62">
        <f t="shared" si="33"/>
        <v>70345.700610000058</v>
      </c>
      <c r="L58" s="62">
        <f t="shared" si="33"/>
        <v>0</v>
      </c>
      <c r="M58" s="62">
        <f t="shared" si="33"/>
        <v>292273.27717999998</v>
      </c>
      <c r="N58" s="62">
        <f t="shared" si="33"/>
        <v>635340.84988187253</v>
      </c>
      <c r="O58" s="62">
        <f t="shared" si="33"/>
        <v>0</v>
      </c>
      <c r="P58" s="62">
        <f t="shared" si="33"/>
        <v>0</v>
      </c>
      <c r="Q58" s="62">
        <f t="shared" si="33"/>
        <v>0</v>
      </c>
      <c r="R58" s="62">
        <f t="shared" si="33"/>
        <v>0</v>
      </c>
      <c r="S58" s="62">
        <f t="shared" si="33"/>
        <v>0</v>
      </c>
      <c r="T58" s="62">
        <f t="shared" si="33"/>
        <v>0</v>
      </c>
      <c r="U58" s="62">
        <f t="shared" si="33"/>
        <v>0</v>
      </c>
      <c r="V58" s="62">
        <f t="shared" si="33"/>
        <v>0</v>
      </c>
      <c r="W58" s="62">
        <f t="shared" si="33"/>
        <v>0</v>
      </c>
      <c r="X58" s="62">
        <f t="shared" si="33"/>
        <v>0</v>
      </c>
      <c r="Y58" s="62">
        <f t="shared" si="33"/>
        <v>0</v>
      </c>
      <c r="Z58" s="62">
        <f t="shared" si="33"/>
        <v>138607.25031999999</v>
      </c>
      <c r="AA58" s="62">
        <f t="shared" si="33"/>
        <v>1068869.2810499994</v>
      </c>
      <c r="AB58" s="62">
        <f t="shared" si="33"/>
        <v>245962.73149762733</v>
      </c>
      <c r="AC58" s="62">
        <f t="shared" si="33"/>
        <v>1482604.7847870784</v>
      </c>
      <c r="AD58" s="62">
        <f t="shared" si="33"/>
        <v>298946.10785975656</v>
      </c>
      <c r="AE58" s="62">
        <f t="shared" si="33"/>
        <v>861241.75793181313</v>
      </c>
      <c r="AF58" s="62">
        <f t="shared" si="33"/>
        <v>467156.19797999994</v>
      </c>
      <c r="AG58" s="62">
        <f t="shared" si="33"/>
        <v>1073432.99939</v>
      </c>
      <c r="AH58" s="62">
        <f t="shared" si="33"/>
        <v>0</v>
      </c>
      <c r="AI58" s="62">
        <f t="shared" si="33"/>
        <v>178226.99141000025</v>
      </c>
      <c r="AJ58" s="62">
        <f t="shared" si="33"/>
        <v>384725.49483907595</v>
      </c>
      <c r="AK58" s="62">
        <f t="shared" si="33"/>
        <v>0</v>
      </c>
      <c r="AL58" s="62">
        <f t="shared" si="33"/>
        <v>199354.80041999975</v>
      </c>
      <c r="AM58" s="62">
        <f t="shared" si="33"/>
        <v>0</v>
      </c>
      <c r="AN58" s="62">
        <f t="shared" si="33"/>
        <v>2370312.3217116692</v>
      </c>
      <c r="AO58" s="62">
        <f t="shared" si="33"/>
        <v>1317666.5889400002</v>
      </c>
      <c r="AP58" s="62">
        <f t="shared" si="33"/>
        <v>1125418.9551500003</v>
      </c>
      <c r="AQ58" s="62">
        <f t="shared" si="33"/>
        <v>0</v>
      </c>
      <c r="AR58" s="62">
        <f t="shared" si="33"/>
        <v>479392.85669022705</v>
      </c>
      <c r="AS58" s="62">
        <f t="shared" si="33"/>
        <v>1532584.33806</v>
      </c>
      <c r="AT58" s="62">
        <f t="shared" si="33"/>
        <v>0</v>
      </c>
      <c r="AU58" s="62">
        <f t="shared" si="33"/>
        <v>357444.95485999994</v>
      </c>
      <c r="AV58" s="62">
        <f t="shared" si="33"/>
        <v>206939.20891999989</v>
      </c>
      <c r="AW58" s="62">
        <f t="shared" si="33"/>
        <v>0</v>
      </c>
      <c r="AX58" s="62">
        <f t="shared" si="33"/>
        <v>151823.38535915362</v>
      </c>
      <c r="AY58" s="62">
        <f t="shared" si="33"/>
        <v>0</v>
      </c>
      <c r="AZ58" s="62">
        <f t="shared" si="33"/>
        <v>0</v>
      </c>
      <c r="BA58" s="62">
        <f t="shared" si="33"/>
        <v>0</v>
      </c>
      <c r="BB58" s="62">
        <f t="shared" si="33"/>
        <v>1499915.3972004177</v>
      </c>
      <c r="BC58" s="62">
        <f t="shared" si="33"/>
        <v>2252675.0073685572</v>
      </c>
      <c r="BD58" s="62">
        <f t="shared" si="33"/>
        <v>2419649.0746599985</v>
      </c>
      <c r="BE58" s="62">
        <f t="shared" si="33"/>
        <v>1399776.56274</v>
      </c>
      <c r="BF58" s="62">
        <f t="shared" si="33"/>
        <v>1125824.3449399997</v>
      </c>
      <c r="BG58" s="62">
        <f t="shared" si="33"/>
        <v>0</v>
      </c>
      <c r="BH58" s="62">
        <f t="shared" si="33"/>
        <v>770482.69695999986</v>
      </c>
      <c r="BI58" s="62">
        <f t="shared" si="33"/>
        <v>2744314.6937858248</v>
      </c>
      <c r="BJ58" s="62">
        <f t="shared" si="33"/>
        <v>1377866.1183199997</v>
      </c>
      <c r="BK58" s="62">
        <f t="shared" si="33"/>
        <v>868130.95509000029</v>
      </c>
      <c r="BL58" s="62">
        <f t="shared" si="33"/>
        <v>634646.518394246</v>
      </c>
      <c r="BM58" s="62">
        <f t="shared" si="33"/>
        <v>1956445.5035000001</v>
      </c>
      <c r="BN58" s="62">
        <f t="shared" si="33"/>
        <v>2278961.2478158148</v>
      </c>
      <c r="BO58" s="62">
        <f t="shared" si="33"/>
        <v>62923.714383511571</v>
      </c>
      <c r="BP58" s="62">
        <f t="shared" si="33"/>
        <v>0</v>
      </c>
      <c r="BQ58" s="62">
        <f t="shared" si="33"/>
        <v>0</v>
      </c>
      <c r="BR58" s="62">
        <f t="shared" si="33"/>
        <v>0</v>
      </c>
      <c r="BS58" s="62">
        <f t="shared" si="33"/>
        <v>904640.24163999967</v>
      </c>
      <c r="BT58" s="62">
        <f t="shared" ref="BT58:CB58" si="34">IF((BT24+BT33+BT41+BT50+BT56)&lt;0,0,BT24+BT33+BT41+BT50+BT56)</f>
        <v>0</v>
      </c>
      <c r="BU58" s="62">
        <f t="shared" si="34"/>
        <v>0</v>
      </c>
      <c r="BV58" s="62">
        <f t="shared" si="34"/>
        <v>737945.22816642513</v>
      </c>
      <c r="BW58" s="62">
        <f t="shared" si="34"/>
        <v>551394.13229999994</v>
      </c>
      <c r="BX58" s="62">
        <f t="shared" si="34"/>
        <v>597818.64479542919</v>
      </c>
      <c r="BY58" s="62">
        <f t="shared" si="34"/>
        <v>0</v>
      </c>
      <c r="BZ58" s="62">
        <f t="shared" si="34"/>
        <v>142189.97775000008</v>
      </c>
      <c r="CA58" s="62">
        <f t="shared" si="34"/>
        <v>1844121.5804825788</v>
      </c>
      <c r="CB58" s="62">
        <f t="shared" si="34"/>
        <v>0</v>
      </c>
      <c r="CC58" s="61"/>
      <c r="CD58" s="63"/>
    </row>
    <row r="59" spans="1:82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D59" s="33"/>
    </row>
    <row r="60" spans="1:82" x14ac:dyDescent="0.2">
      <c r="A60" s="63" t="s">
        <v>173</v>
      </c>
      <c r="B60" s="61" t="s">
        <v>156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7"/>
      <c r="CD60" s="63"/>
    </row>
    <row r="61" spans="1:82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D61" s="33"/>
    </row>
    <row r="62" spans="1:82" x14ac:dyDescent="0.2">
      <c r="B62" s="3" t="s">
        <v>158</v>
      </c>
      <c r="C62" s="5"/>
      <c r="D62" s="66">
        <f>'Ressourcenausgleich Basis'!D144</f>
        <v>1.106424685005841</v>
      </c>
      <c r="E62" s="66">
        <f>'Ressourcenausgleich Basis'!E144</f>
        <v>0.80986362969109826</v>
      </c>
      <c r="F62" s="66">
        <f>'Ressourcenausgleich Basis'!F144</f>
        <v>0.78125408877529812</v>
      </c>
      <c r="G62" s="66">
        <f>'Ressourcenausgleich Basis'!G144</f>
        <v>0.7379530379789071</v>
      </c>
      <c r="H62" s="66">
        <f>'Ressourcenausgleich Basis'!H144</f>
        <v>1.6893178627583125</v>
      </c>
      <c r="I62" s="66">
        <f>'Ressourcenausgleich Basis'!I144</f>
        <v>0.99155717814414335</v>
      </c>
      <c r="J62" s="66">
        <f>'Ressourcenausgleich Basis'!J144</f>
        <v>0.97643407279203909</v>
      </c>
      <c r="K62" s="66">
        <f>'Ressourcenausgleich Basis'!K144</f>
        <v>0.99876606303257498</v>
      </c>
      <c r="L62" s="66">
        <f>'Ressourcenausgleich Basis'!L144</f>
        <v>1.2393838395368291</v>
      </c>
      <c r="M62" s="66">
        <f>'Ressourcenausgleich Basis'!M144</f>
        <v>0.91750324003941608</v>
      </c>
      <c r="N62" s="66">
        <f>'Ressourcenausgleich Basis'!N144</f>
        <v>0.87088153739158392</v>
      </c>
      <c r="O62" s="66">
        <f>'Ressourcenausgleich Basis'!O144</f>
        <v>1.0149126792241701</v>
      </c>
      <c r="P62" s="66">
        <f>'Ressourcenausgleich Basis'!P144</f>
        <v>0.8062905672484626</v>
      </c>
      <c r="Q62" s="66">
        <f>'Ressourcenausgleich Basis'!Q144</f>
        <v>1.2264054091852901</v>
      </c>
      <c r="R62" s="66">
        <f>'Ressourcenausgleich Basis'!R144</f>
        <v>0.8706171854759891</v>
      </c>
      <c r="S62" s="66">
        <f>'Ressourcenausgleich Basis'!S144</f>
        <v>0.78011566471913862</v>
      </c>
      <c r="T62" s="66">
        <f>'Ressourcenausgleich Basis'!T144</f>
        <v>1.1696538373973508</v>
      </c>
      <c r="U62" s="66">
        <f>'Ressourcenausgleich Basis'!U144</f>
        <v>1.1359980147006199</v>
      </c>
      <c r="V62" s="66">
        <f>'Ressourcenausgleich Basis'!V144</f>
        <v>1.5702583212052628</v>
      </c>
      <c r="W62" s="66">
        <f>'Ressourcenausgleich Basis'!W144</f>
        <v>1.0299793772107</v>
      </c>
      <c r="X62" s="66">
        <f>'Ressourcenausgleich Basis'!X144</f>
        <v>1.1211449311188078</v>
      </c>
      <c r="Y62" s="66">
        <f>'Ressourcenausgleich Basis'!Y144</f>
        <v>0.90994899183202993</v>
      </c>
      <c r="Z62" s="66">
        <f>'Ressourcenausgleich Basis'!Z144</f>
        <v>0.85804082999158637</v>
      </c>
      <c r="AA62" s="66">
        <f>'Ressourcenausgleich Basis'!AA144</f>
        <v>0.95873510246148919</v>
      </c>
      <c r="AB62" s="66">
        <f>'Ressourcenausgleich Basis'!AB144</f>
        <v>0.7918745263017205</v>
      </c>
      <c r="AC62" s="66">
        <f>'Ressourcenausgleich Basis'!AC144</f>
        <v>0.9304686776432205</v>
      </c>
      <c r="AD62" s="66">
        <f>'Ressourcenausgleich Basis'!AD144</f>
        <v>0.83188855113585025</v>
      </c>
      <c r="AE62" s="66">
        <f>'Ressourcenausgleich Basis'!AE144</f>
        <v>1.2060165740974269</v>
      </c>
      <c r="AF62" s="66">
        <f>'Ressourcenausgleich Basis'!AF144</f>
        <v>0.79934752994691693</v>
      </c>
      <c r="AG62" s="66">
        <f>'Ressourcenausgleich Basis'!AG144</f>
        <v>0.82007653420158455</v>
      </c>
      <c r="AH62" s="66">
        <f>'Ressourcenausgleich Basis'!AH144</f>
        <v>1.0714012351250262</v>
      </c>
      <c r="AI62" s="66">
        <f>'Ressourcenausgleich Basis'!AI144</f>
        <v>0.8852707709274068</v>
      </c>
      <c r="AJ62" s="66">
        <f>'Ressourcenausgleich Basis'!AJ144</f>
        <v>0.75693703739140117</v>
      </c>
      <c r="AK62" s="66">
        <f>'Ressourcenausgleich Basis'!AK144</f>
        <v>0.88469234630908122</v>
      </c>
      <c r="AL62" s="66">
        <f>'Ressourcenausgleich Basis'!AL144</f>
        <v>0.78386067551529159</v>
      </c>
      <c r="AM62" s="66">
        <f>'Ressourcenausgleich Basis'!AM144</f>
        <v>1.0730942775105923</v>
      </c>
      <c r="AN62" s="66">
        <f>'Ressourcenausgleich Basis'!AN144</f>
        <v>0.70070115167311475</v>
      </c>
      <c r="AO62" s="66">
        <f>'Ressourcenausgleich Basis'!AO144</f>
        <v>0.76704439158731075</v>
      </c>
      <c r="AP62" s="66">
        <f>'Ressourcenausgleich Basis'!AP144</f>
        <v>0.84633761134326491</v>
      </c>
      <c r="AQ62" s="66">
        <f>'Ressourcenausgleich Basis'!AQ144</f>
        <v>0.83274489877566904</v>
      </c>
      <c r="AR62" s="66">
        <f>'Ressourcenausgleich Basis'!AR144</f>
        <v>0.89069003945342418</v>
      </c>
      <c r="AS62" s="66">
        <f>'Ressourcenausgleich Basis'!AS144</f>
        <v>1.1014247467995097</v>
      </c>
      <c r="AT62" s="66">
        <f>'Ressourcenausgleich Basis'!AT144</f>
        <v>1.0971334495283691</v>
      </c>
      <c r="AU62" s="66">
        <f>'Ressourcenausgleich Basis'!AU144</f>
        <v>0.76674169408940107</v>
      </c>
      <c r="AV62" s="66">
        <f>'Ressourcenausgleich Basis'!AV144</f>
        <v>0.7881737679861256</v>
      </c>
      <c r="AW62" s="66">
        <f>'Ressourcenausgleich Basis'!AW144</f>
        <v>0.77164392504863943</v>
      </c>
      <c r="AX62" s="66">
        <f>'Ressourcenausgleich Basis'!AX144</f>
        <v>0.9938950344867743</v>
      </c>
      <c r="AY62" s="66">
        <f>'Ressourcenausgleich Basis'!AY144</f>
        <v>0.87352855102956328</v>
      </c>
      <c r="AZ62" s="66">
        <f>'Ressourcenausgleich Basis'!AZ144</f>
        <v>1.0463174164904792</v>
      </c>
      <c r="BA62" s="66">
        <f>'Ressourcenausgleich Basis'!BA144</f>
        <v>1.7308040542111744</v>
      </c>
      <c r="BB62" s="66">
        <f>'Ressourcenausgleich Basis'!BB144</f>
        <v>0.88360813916099223</v>
      </c>
      <c r="BC62" s="66">
        <f>'Ressourcenausgleich Basis'!BC144</f>
        <v>0.9094655219885811</v>
      </c>
      <c r="BD62" s="66">
        <f>'Ressourcenausgleich Basis'!BD144</f>
        <v>0.70748888816990863</v>
      </c>
      <c r="BE62" s="66">
        <f>'Ressourcenausgleich Basis'!BE144</f>
        <v>0.73654706847868656</v>
      </c>
      <c r="BF62" s="66">
        <f>'Ressourcenausgleich Basis'!BF144</f>
        <v>0.73524038927511715</v>
      </c>
      <c r="BG62" s="66">
        <f>'Ressourcenausgleich Basis'!BG144</f>
        <v>0.77848625428070117</v>
      </c>
      <c r="BH62" s="66">
        <f>'Ressourcenausgleich Basis'!BH144</f>
        <v>0.66345846841398681</v>
      </c>
      <c r="BI62" s="66">
        <f>'Ressourcenausgleich Basis'!BI144</f>
        <v>0.59116781335145807</v>
      </c>
      <c r="BJ62" s="66">
        <f>'Ressourcenausgleich Basis'!BJ144</f>
        <v>0.60822765672612167</v>
      </c>
      <c r="BK62" s="66">
        <f>'Ressourcenausgleich Basis'!BK144</f>
        <v>0.74623780121560024</v>
      </c>
      <c r="BL62" s="66">
        <f>'Ressourcenausgleich Basis'!BL144</f>
        <v>0.67800066949600524</v>
      </c>
      <c r="BM62" s="66">
        <f>'Ressourcenausgleich Basis'!BM144</f>
        <v>0.60172979742074151</v>
      </c>
      <c r="BN62" s="66">
        <f>'Ressourcenausgleich Basis'!BN144</f>
        <v>0.79981600280401866</v>
      </c>
      <c r="BO62" s="66">
        <f>'Ressourcenausgleich Basis'!BO144</f>
        <v>0.8594938877892172</v>
      </c>
      <c r="BP62" s="66">
        <f>'Ressourcenausgleich Basis'!BP144</f>
        <v>0.84774036892340299</v>
      </c>
      <c r="BQ62" s="66">
        <f>'Ressourcenausgleich Basis'!BQ144</f>
        <v>0.8297914263733418</v>
      </c>
      <c r="BR62" s="66">
        <f>'Ressourcenausgleich Basis'!BR144</f>
        <v>0.79420138970435217</v>
      </c>
      <c r="BS62" s="66">
        <f>'Ressourcenausgleich Basis'!BS144</f>
        <v>0.72549933240024833</v>
      </c>
      <c r="BT62" s="66">
        <f>'Ressourcenausgleich Basis'!BT144</f>
        <v>1.0841108110004032</v>
      </c>
      <c r="BU62" s="66">
        <f>'Ressourcenausgleich Basis'!BU144</f>
        <v>1.2347874327499626</v>
      </c>
      <c r="BV62" s="66">
        <f>'Ressourcenausgleich Basis'!BV144</f>
        <v>1.052323252264624</v>
      </c>
      <c r="BW62" s="66">
        <f>'Ressourcenausgleich Basis'!BW144</f>
        <v>0.76139957604532194</v>
      </c>
      <c r="BX62" s="66">
        <f>'Ressourcenausgleich Basis'!BX144</f>
        <v>0.83972901314346693</v>
      </c>
      <c r="BY62" s="66">
        <f>'Ressourcenausgleich Basis'!BY144</f>
        <v>0.95282842951425117</v>
      </c>
      <c r="BZ62" s="66">
        <f>'Ressourcenausgleich Basis'!BZ144</f>
        <v>0.97157119890123744</v>
      </c>
      <c r="CA62" s="66">
        <f>'Ressourcenausgleich Basis'!CA144</f>
        <v>0.83323172568185455</v>
      </c>
      <c r="CB62" s="66">
        <f>'Ressourcenausgleich Basis'!CB144</f>
        <v>1.1104216178712163</v>
      </c>
      <c r="CD62" s="33"/>
    </row>
    <row r="63" spans="1:82" x14ac:dyDescent="0.2">
      <c r="C63" s="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</row>
    <row r="64" spans="1:82" x14ac:dyDescent="0.2">
      <c r="B64" s="3" t="s">
        <v>159</v>
      </c>
      <c r="C64" s="5"/>
      <c r="D64" s="66">
        <f>IF(D62&lt;100%,0%,IF(D62&gt;120%,100%,(-100%+D62)/20*100))</f>
        <v>0.53212342502920507</v>
      </c>
      <c r="E64" s="66">
        <f t="shared" ref="E64:BP64" si="35">IF(E62&lt;100%,0%,IF(E62&gt;120%,100%,(-100%+E62)/20*100))</f>
        <v>0</v>
      </c>
      <c r="F64" s="66">
        <f t="shared" si="35"/>
        <v>0</v>
      </c>
      <c r="G64" s="66">
        <f t="shared" si="35"/>
        <v>0</v>
      </c>
      <c r="H64" s="66">
        <f t="shared" si="35"/>
        <v>1</v>
      </c>
      <c r="I64" s="66">
        <f t="shared" si="35"/>
        <v>0</v>
      </c>
      <c r="J64" s="66">
        <f t="shared" si="35"/>
        <v>0</v>
      </c>
      <c r="K64" s="66">
        <f t="shared" si="35"/>
        <v>0</v>
      </c>
      <c r="L64" s="66">
        <f t="shared" si="35"/>
        <v>1</v>
      </c>
      <c r="M64" s="66">
        <f t="shared" si="35"/>
        <v>0</v>
      </c>
      <c r="N64" s="66">
        <f t="shared" si="35"/>
        <v>0</v>
      </c>
      <c r="O64" s="66">
        <f t="shared" si="35"/>
        <v>7.4563396120850278E-2</v>
      </c>
      <c r="P64" s="66">
        <f t="shared" si="35"/>
        <v>0</v>
      </c>
      <c r="Q64" s="66">
        <f t="shared" si="35"/>
        <v>1</v>
      </c>
      <c r="R64" s="66">
        <f t="shared" si="35"/>
        <v>0</v>
      </c>
      <c r="S64" s="66">
        <f t="shared" si="35"/>
        <v>0</v>
      </c>
      <c r="T64" s="66">
        <f t="shared" si="35"/>
        <v>0.84826918698675435</v>
      </c>
      <c r="U64" s="66">
        <f t="shared" si="35"/>
        <v>0.67999007350309948</v>
      </c>
      <c r="V64" s="66">
        <f t="shared" si="35"/>
        <v>1</v>
      </c>
      <c r="W64" s="66">
        <f t="shared" si="35"/>
        <v>0.14989688605349993</v>
      </c>
      <c r="X64" s="66">
        <f t="shared" si="35"/>
        <v>0.60572465559403876</v>
      </c>
      <c r="Y64" s="66">
        <f t="shared" si="35"/>
        <v>0</v>
      </c>
      <c r="Z64" s="66">
        <f t="shared" si="35"/>
        <v>0</v>
      </c>
      <c r="AA64" s="66">
        <f t="shared" si="35"/>
        <v>0</v>
      </c>
      <c r="AB64" s="66">
        <f t="shared" si="35"/>
        <v>0</v>
      </c>
      <c r="AC64" s="66">
        <f t="shared" si="35"/>
        <v>0</v>
      </c>
      <c r="AD64" s="66">
        <f t="shared" si="35"/>
        <v>0</v>
      </c>
      <c r="AE64" s="66">
        <f t="shared" si="35"/>
        <v>1</v>
      </c>
      <c r="AF64" s="66">
        <f t="shared" si="35"/>
        <v>0</v>
      </c>
      <c r="AG64" s="66">
        <f t="shared" si="35"/>
        <v>0</v>
      </c>
      <c r="AH64" s="66">
        <f t="shared" si="35"/>
        <v>0.35700617562513082</v>
      </c>
      <c r="AI64" s="66">
        <f t="shared" si="35"/>
        <v>0</v>
      </c>
      <c r="AJ64" s="66">
        <f t="shared" si="35"/>
        <v>0</v>
      </c>
      <c r="AK64" s="66">
        <f t="shared" si="35"/>
        <v>0</v>
      </c>
      <c r="AL64" s="66">
        <f t="shared" si="35"/>
        <v>0</v>
      </c>
      <c r="AM64" s="66">
        <f t="shared" si="35"/>
        <v>0.36547138755296138</v>
      </c>
      <c r="AN64" s="66">
        <f t="shared" si="35"/>
        <v>0</v>
      </c>
      <c r="AO64" s="66">
        <f t="shared" si="35"/>
        <v>0</v>
      </c>
      <c r="AP64" s="66">
        <f t="shared" si="35"/>
        <v>0</v>
      </c>
      <c r="AQ64" s="66">
        <f t="shared" si="35"/>
        <v>0</v>
      </c>
      <c r="AR64" s="66">
        <f t="shared" si="35"/>
        <v>0</v>
      </c>
      <c r="AS64" s="66">
        <f t="shared" si="35"/>
        <v>0.50712373399754873</v>
      </c>
      <c r="AT64" s="66">
        <f t="shared" si="35"/>
        <v>0.48566724764184555</v>
      </c>
      <c r="AU64" s="66">
        <f t="shared" si="35"/>
        <v>0</v>
      </c>
      <c r="AV64" s="66">
        <f t="shared" si="35"/>
        <v>0</v>
      </c>
      <c r="AW64" s="66">
        <f t="shared" si="35"/>
        <v>0</v>
      </c>
      <c r="AX64" s="66">
        <f t="shared" si="35"/>
        <v>0</v>
      </c>
      <c r="AY64" s="66">
        <f t="shared" si="35"/>
        <v>0</v>
      </c>
      <c r="AZ64" s="66">
        <f t="shared" si="35"/>
        <v>0.23158708245239581</v>
      </c>
      <c r="BA64" s="66">
        <f t="shared" si="35"/>
        <v>1</v>
      </c>
      <c r="BB64" s="66">
        <f t="shared" si="35"/>
        <v>0</v>
      </c>
      <c r="BC64" s="66">
        <f t="shared" si="35"/>
        <v>0</v>
      </c>
      <c r="BD64" s="66">
        <f t="shared" si="35"/>
        <v>0</v>
      </c>
      <c r="BE64" s="66">
        <f t="shared" si="35"/>
        <v>0</v>
      </c>
      <c r="BF64" s="66">
        <f t="shared" si="35"/>
        <v>0</v>
      </c>
      <c r="BG64" s="66">
        <f t="shared" si="35"/>
        <v>0</v>
      </c>
      <c r="BH64" s="66">
        <f t="shared" si="35"/>
        <v>0</v>
      </c>
      <c r="BI64" s="66">
        <f t="shared" si="35"/>
        <v>0</v>
      </c>
      <c r="BJ64" s="66">
        <f t="shared" si="35"/>
        <v>0</v>
      </c>
      <c r="BK64" s="66">
        <f t="shared" si="35"/>
        <v>0</v>
      </c>
      <c r="BL64" s="66">
        <f t="shared" si="35"/>
        <v>0</v>
      </c>
      <c r="BM64" s="66">
        <f t="shared" si="35"/>
        <v>0</v>
      </c>
      <c r="BN64" s="66">
        <f t="shared" si="35"/>
        <v>0</v>
      </c>
      <c r="BO64" s="66">
        <f t="shared" si="35"/>
        <v>0</v>
      </c>
      <c r="BP64" s="66">
        <f t="shared" si="35"/>
        <v>0</v>
      </c>
      <c r="BQ64" s="66">
        <f t="shared" ref="BQ64:CB64" si="36">IF(BQ62&lt;100%,0%,IF(BQ62&gt;120%,100%,(-100%+BQ62)/20*100))</f>
        <v>0</v>
      </c>
      <c r="BR64" s="66">
        <f t="shared" si="36"/>
        <v>0</v>
      </c>
      <c r="BS64" s="66">
        <f t="shared" si="36"/>
        <v>0</v>
      </c>
      <c r="BT64" s="66">
        <f t="shared" si="36"/>
        <v>0.42055405500201593</v>
      </c>
      <c r="BU64" s="66">
        <f t="shared" si="36"/>
        <v>1</v>
      </c>
      <c r="BV64" s="66">
        <f t="shared" si="36"/>
        <v>0.26161626132311988</v>
      </c>
      <c r="BW64" s="66">
        <f t="shared" si="36"/>
        <v>0</v>
      </c>
      <c r="BX64" s="66">
        <f t="shared" si="36"/>
        <v>0</v>
      </c>
      <c r="BY64" s="66">
        <f t="shared" si="36"/>
        <v>0</v>
      </c>
      <c r="BZ64" s="66">
        <f t="shared" si="36"/>
        <v>0</v>
      </c>
      <c r="CA64" s="66">
        <f t="shared" si="36"/>
        <v>0</v>
      </c>
      <c r="CB64" s="66">
        <f t="shared" si="36"/>
        <v>0.55210808935608147</v>
      </c>
    </row>
    <row r="65" spans="1:82" s="5" customFormat="1" x14ac:dyDescent="0.2">
      <c r="A65" s="4"/>
      <c r="B65" s="4" t="s">
        <v>163</v>
      </c>
      <c r="D65" s="5">
        <f t="shared" ref="D65:AI65" si="37">D58*-D64</f>
        <v>0</v>
      </c>
      <c r="E65" s="5">
        <f t="shared" si="37"/>
        <v>0</v>
      </c>
      <c r="F65" s="5">
        <f t="shared" si="37"/>
        <v>0</v>
      </c>
      <c r="G65" s="5">
        <f t="shared" si="37"/>
        <v>0</v>
      </c>
      <c r="H65" s="5">
        <f t="shared" si="37"/>
        <v>-79579.881008817349</v>
      </c>
      <c r="I65" s="5">
        <f t="shared" si="37"/>
        <v>0</v>
      </c>
      <c r="J65" s="5">
        <f t="shared" si="37"/>
        <v>0</v>
      </c>
      <c r="K65" s="5">
        <f t="shared" si="37"/>
        <v>0</v>
      </c>
      <c r="L65" s="5">
        <f t="shared" si="37"/>
        <v>0</v>
      </c>
      <c r="M65" s="5">
        <f t="shared" si="37"/>
        <v>0</v>
      </c>
      <c r="N65" s="5">
        <f t="shared" si="37"/>
        <v>0</v>
      </c>
      <c r="O65" s="5">
        <f t="shared" si="37"/>
        <v>0</v>
      </c>
      <c r="P65" s="5">
        <f t="shared" si="37"/>
        <v>0</v>
      </c>
      <c r="Q65" s="5">
        <f t="shared" si="37"/>
        <v>0</v>
      </c>
      <c r="R65" s="5">
        <f t="shared" si="37"/>
        <v>0</v>
      </c>
      <c r="S65" s="5">
        <f t="shared" si="37"/>
        <v>0</v>
      </c>
      <c r="T65" s="5">
        <f t="shared" si="37"/>
        <v>0</v>
      </c>
      <c r="U65" s="5">
        <f t="shared" si="37"/>
        <v>0</v>
      </c>
      <c r="V65" s="5">
        <f t="shared" si="37"/>
        <v>0</v>
      </c>
      <c r="W65" s="5">
        <f t="shared" si="37"/>
        <v>0</v>
      </c>
      <c r="X65" s="5">
        <f t="shared" si="37"/>
        <v>0</v>
      </c>
      <c r="Y65" s="5">
        <f t="shared" si="37"/>
        <v>0</v>
      </c>
      <c r="Z65" s="5">
        <f t="shared" si="37"/>
        <v>0</v>
      </c>
      <c r="AA65" s="5">
        <f t="shared" si="37"/>
        <v>0</v>
      </c>
      <c r="AB65" s="5">
        <f t="shared" si="37"/>
        <v>0</v>
      </c>
      <c r="AC65" s="5">
        <f t="shared" si="37"/>
        <v>0</v>
      </c>
      <c r="AD65" s="5">
        <f t="shared" si="37"/>
        <v>0</v>
      </c>
      <c r="AE65" s="5">
        <f t="shared" si="37"/>
        <v>-861241.75793181313</v>
      </c>
      <c r="AF65" s="5">
        <f t="shared" si="37"/>
        <v>0</v>
      </c>
      <c r="AG65" s="5">
        <f t="shared" si="37"/>
        <v>0</v>
      </c>
      <c r="AH65" s="5">
        <f t="shared" si="37"/>
        <v>0</v>
      </c>
      <c r="AI65" s="5">
        <f t="shared" si="37"/>
        <v>0</v>
      </c>
      <c r="AJ65" s="5">
        <f t="shared" ref="AJ65:BO65" si="38">AJ58*-AJ64</f>
        <v>0</v>
      </c>
      <c r="AK65" s="5">
        <f t="shared" si="38"/>
        <v>0</v>
      </c>
      <c r="AL65" s="5">
        <f t="shared" si="38"/>
        <v>0</v>
      </c>
      <c r="AM65" s="5">
        <f t="shared" si="38"/>
        <v>0</v>
      </c>
      <c r="AN65" s="5">
        <f t="shared" si="38"/>
        <v>0</v>
      </c>
      <c r="AO65" s="5">
        <f t="shared" si="38"/>
        <v>0</v>
      </c>
      <c r="AP65" s="5">
        <f t="shared" si="38"/>
        <v>0</v>
      </c>
      <c r="AQ65" s="5">
        <f t="shared" si="38"/>
        <v>0</v>
      </c>
      <c r="AR65" s="5">
        <f t="shared" si="38"/>
        <v>0</v>
      </c>
      <c r="AS65" s="5">
        <f t="shared" si="38"/>
        <v>-777209.89218314877</v>
      </c>
      <c r="AT65" s="5">
        <f t="shared" si="38"/>
        <v>0</v>
      </c>
      <c r="AU65" s="5">
        <f t="shared" si="38"/>
        <v>0</v>
      </c>
      <c r="AV65" s="5">
        <f t="shared" si="38"/>
        <v>0</v>
      </c>
      <c r="AW65" s="5">
        <f t="shared" si="38"/>
        <v>0</v>
      </c>
      <c r="AX65" s="5">
        <f t="shared" si="38"/>
        <v>0</v>
      </c>
      <c r="AY65" s="5">
        <f t="shared" si="38"/>
        <v>0</v>
      </c>
      <c r="AZ65" s="5">
        <f t="shared" si="38"/>
        <v>0</v>
      </c>
      <c r="BA65" s="5">
        <f t="shared" si="38"/>
        <v>0</v>
      </c>
      <c r="BB65" s="5">
        <f t="shared" si="38"/>
        <v>0</v>
      </c>
      <c r="BC65" s="5">
        <f t="shared" si="38"/>
        <v>0</v>
      </c>
      <c r="BD65" s="5">
        <f t="shared" si="38"/>
        <v>0</v>
      </c>
      <c r="BE65" s="5">
        <f t="shared" si="38"/>
        <v>0</v>
      </c>
      <c r="BF65" s="5">
        <f t="shared" si="38"/>
        <v>0</v>
      </c>
      <c r="BG65" s="5">
        <f t="shared" si="38"/>
        <v>0</v>
      </c>
      <c r="BH65" s="5">
        <f t="shared" si="38"/>
        <v>0</v>
      </c>
      <c r="BI65" s="5">
        <f t="shared" si="38"/>
        <v>0</v>
      </c>
      <c r="BJ65" s="5">
        <f t="shared" si="38"/>
        <v>0</v>
      </c>
      <c r="BK65" s="5">
        <f t="shared" si="38"/>
        <v>0</v>
      </c>
      <c r="BL65" s="5">
        <f t="shared" si="38"/>
        <v>0</v>
      </c>
      <c r="BM65" s="5">
        <f t="shared" si="38"/>
        <v>0</v>
      </c>
      <c r="BN65" s="5">
        <f t="shared" si="38"/>
        <v>0</v>
      </c>
      <c r="BO65" s="5">
        <f t="shared" si="38"/>
        <v>0</v>
      </c>
      <c r="BP65" s="5">
        <f t="shared" ref="BP65:CB65" si="39">BP58*-BP64</f>
        <v>0</v>
      </c>
      <c r="BQ65" s="5">
        <f t="shared" si="39"/>
        <v>0</v>
      </c>
      <c r="BR65" s="5">
        <f t="shared" si="39"/>
        <v>0</v>
      </c>
      <c r="BS65" s="5">
        <f t="shared" si="39"/>
        <v>0</v>
      </c>
      <c r="BT65" s="5">
        <f t="shared" si="39"/>
        <v>0</v>
      </c>
      <c r="BU65" s="5">
        <f t="shared" si="39"/>
        <v>0</v>
      </c>
      <c r="BV65" s="5">
        <f t="shared" si="39"/>
        <v>-193058.47165413681</v>
      </c>
      <c r="BW65" s="5">
        <f t="shared" si="39"/>
        <v>0</v>
      </c>
      <c r="BX65" s="5">
        <f t="shared" si="39"/>
        <v>0</v>
      </c>
      <c r="BY65" s="5">
        <f t="shared" si="39"/>
        <v>0</v>
      </c>
      <c r="BZ65" s="5">
        <f t="shared" si="39"/>
        <v>0</v>
      </c>
      <c r="CA65" s="5">
        <f t="shared" si="39"/>
        <v>0</v>
      </c>
      <c r="CB65" s="5">
        <f t="shared" si="39"/>
        <v>0</v>
      </c>
      <c r="CC65" s="4"/>
      <c r="CD65" s="4"/>
    </row>
    <row r="66" spans="1:82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1:82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2" s="57" customFormat="1" ht="15.75" x14ac:dyDescent="0.25">
      <c r="A68" s="69" t="s">
        <v>104</v>
      </c>
      <c r="B68" s="69" t="s">
        <v>161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69"/>
      <c r="CD68" s="69"/>
    </row>
    <row r="69" spans="1:82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1:82" s="32" customFormat="1" x14ac:dyDescent="0.2">
      <c r="A70" s="21"/>
      <c r="B70" s="32" t="s">
        <v>193</v>
      </c>
      <c r="C70" s="15">
        <f t="shared" ref="C70:C74" si="40">SUM(D70:CB70)</f>
        <v>40227757.283259898</v>
      </c>
      <c r="D70" s="15">
        <f t="shared" ref="D70:AI70" si="41">D58</f>
        <v>0</v>
      </c>
      <c r="E70" s="15">
        <f t="shared" si="41"/>
        <v>0</v>
      </c>
      <c r="F70" s="15">
        <f t="shared" si="41"/>
        <v>402879.1330400001</v>
      </c>
      <c r="G70" s="15">
        <f t="shared" si="41"/>
        <v>636905.79406999995</v>
      </c>
      <c r="H70" s="15">
        <f t="shared" si="41"/>
        <v>79579.881008817349</v>
      </c>
      <c r="I70" s="15">
        <f t="shared" si="41"/>
        <v>0</v>
      </c>
      <c r="J70" s="15">
        <f t="shared" si="41"/>
        <v>0</v>
      </c>
      <c r="K70" s="15">
        <f t="shared" si="41"/>
        <v>70345.700610000058</v>
      </c>
      <c r="L70" s="15">
        <f t="shared" si="41"/>
        <v>0</v>
      </c>
      <c r="M70" s="15">
        <f t="shared" si="41"/>
        <v>292273.27717999998</v>
      </c>
      <c r="N70" s="15">
        <f t="shared" si="41"/>
        <v>635340.84988187253</v>
      </c>
      <c r="O70" s="15">
        <f t="shared" si="41"/>
        <v>0</v>
      </c>
      <c r="P70" s="15">
        <f t="shared" si="41"/>
        <v>0</v>
      </c>
      <c r="Q70" s="15">
        <f t="shared" si="41"/>
        <v>0</v>
      </c>
      <c r="R70" s="15">
        <f t="shared" si="41"/>
        <v>0</v>
      </c>
      <c r="S70" s="15">
        <f t="shared" si="41"/>
        <v>0</v>
      </c>
      <c r="T70" s="15">
        <f t="shared" si="41"/>
        <v>0</v>
      </c>
      <c r="U70" s="15">
        <f t="shared" si="41"/>
        <v>0</v>
      </c>
      <c r="V70" s="15">
        <f t="shared" si="41"/>
        <v>0</v>
      </c>
      <c r="W70" s="15">
        <f t="shared" si="41"/>
        <v>0</v>
      </c>
      <c r="X70" s="15">
        <f t="shared" si="41"/>
        <v>0</v>
      </c>
      <c r="Y70" s="15">
        <f t="shared" si="41"/>
        <v>0</v>
      </c>
      <c r="Z70" s="15">
        <f t="shared" si="41"/>
        <v>138607.25031999999</v>
      </c>
      <c r="AA70" s="15">
        <f t="shared" si="41"/>
        <v>1068869.2810499994</v>
      </c>
      <c r="AB70" s="15">
        <f t="shared" si="41"/>
        <v>245962.73149762733</v>
      </c>
      <c r="AC70" s="15">
        <f t="shared" si="41"/>
        <v>1482604.7847870784</v>
      </c>
      <c r="AD70" s="15">
        <f t="shared" si="41"/>
        <v>298946.10785975656</v>
      </c>
      <c r="AE70" s="15">
        <f t="shared" si="41"/>
        <v>861241.75793181313</v>
      </c>
      <c r="AF70" s="15">
        <f t="shared" si="41"/>
        <v>467156.19797999994</v>
      </c>
      <c r="AG70" s="15">
        <f t="shared" si="41"/>
        <v>1073432.99939</v>
      </c>
      <c r="AH70" s="15">
        <f t="shared" si="41"/>
        <v>0</v>
      </c>
      <c r="AI70" s="15">
        <f t="shared" si="41"/>
        <v>178226.99141000025</v>
      </c>
      <c r="AJ70" s="15">
        <f t="shared" ref="AJ70:BO70" si="42">AJ58</f>
        <v>384725.49483907595</v>
      </c>
      <c r="AK70" s="15">
        <f t="shared" si="42"/>
        <v>0</v>
      </c>
      <c r="AL70" s="15">
        <f t="shared" si="42"/>
        <v>199354.80041999975</v>
      </c>
      <c r="AM70" s="15">
        <f t="shared" si="42"/>
        <v>0</v>
      </c>
      <c r="AN70" s="15">
        <f t="shared" si="42"/>
        <v>2370312.3217116692</v>
      </c>
      <c r="AO70" s="15">
        <f t="shared" si="42"/>
        <v>1317666.5889400002</v>
      </c>
      <c r="AP70" s="15">
        <f t="shared" si="42"/>
        <v>1125418.9551500003</v>
      </c>
      <c r="AQ70" s="15">
        <f t="shared" si="42"/>
        <v>0</v>
      </c>
      <c r="AR70" s="15">
        <f t="shared" si="42"/>
        <v>479392.85669022705</v>
      </c>
      <c r="AS70" s="15">
        <f t="shared" si="42"/>
        <v>1532584.33806</v>
      </c>
      <c r="AT70" s="15">
        <f t="shared" si="42"/>
        <v>0</v>
      </c>
      <c r="AU70" s="15">
        <f t="shared" si="42"/>
        <v>357444.95485999994</v>
      </c>
      <c r="AV70" s="15">
        <f t="shared" si="42"/>
        <v>206939.20891999989</v>
      </c>
      <c r="AW70" s="15">
        <f t="shared" si="42"/>
        <v>0</v>
      </c>
      <c r="AX70" s="15">
        <f t="shared" si="42"/>
        <v>151823.38535915362</v>
      </c>
      <c r="AY70" s="15">
        <f t="shared" si="42"/>
        <v>0</v>
      </c>
      <c r="AZ70" s="15">
        <f t="shared" si="42"/>
        <v>0</v>
      </c>
      <c r="BA70" s="15">
        <f t="shared" si="42"/>
        <v>0</v>
      </c>
      <c r="BB70" s="15">
        <f t="shared" si="42"/>
        <v>1499915.3972004177</v>
      </c>
      <c r="BC70" s="15">
        <f t="shared" si="42"/>
        <v>2252675.0073685572</v>
      </c>
      <c r="BD70" s="15">
        <f t="shared" si="42"/>
        <v>2419649.0746599985</v>
      </c>
      <c r="BE70" s="15">
        <f t="shared" si="42"/>
        <v>1399776.56274</v>
      </c>
      <c r="BF70" s="15">
        <f t="shared" si="42"/>
        <v>1125824.3449399997</v>
      </c>
      <c r="BG70" s="15">
        <f t="shared" si="42"/>
        <v>0</v>
      </c>
      <c r="BH70" s="15">
        <f t="shared" si="42"/>
        <v>770482.69695999986</v>
      </c>
      <c r="BI70" s="15">
        <f t="shared" si="42"/>
        <v>2744314.6937858248</v>
      </c>
      <c r="BJ70" s="15">
        <f t="shared" si="42"/>
        <v>1377866.1183199997</v>
      </c>
      <c r="BK70" s="15">
        <f t="shared" si="42"/>
        <v>868130.95509000029</v>
      </c>
      <c r="BL70" s="15">
        <f t="shared" si="42"/>
        <v>634646.518394246</v>
      </c>
      <c r="BM70" s="15">
        <f t="shared" si="42"/>
        <v>1956445.5035000001</v>
      </c>
      <c r="BN70" s="15">
        <f t="shared" si="42"/>
        <v>2278961.2478158148</v>
      </c>
      <c r="BO70" s="15">
        <f t="shared" si="42"/>
        <v>62923.714383511571</v>
      </c>
      <c r="BP70" s="15">
        <f t="shared" ref="BP70:CB70" si="43">BP58</f>
        <v>0</v>
      </c>
      <c r="BQ70" s="15">
        <f t="shared" si="43"/>
        <v>0</v>
      </c>
      <c r="BR70" s="15">
        <f t="shared" si="43"/>
        <v>0</v>
      </c>
      <c r="BS70" s="15">
        <f t="shared" si="43"/>
        <v>904640.24163999967</v>
      </c>
      <c r="BT70" s="15">
        <f t="shared" si="43"/>
        <v>0</v>
      </c>
      <c r="BU70" s="15">
        <f t="shared" si="43"/>
        <v>0</v>
      </c>
      <c r="BV70" s="15">
        <f t="shared" si="43"/>
        <v>737945.22816642513</v>
      </c>
      <c r="BW70" s="15">
        <f t="shared" si="43"/>
        <v>551394.13229999994</v>
      </c>
      <c r="BX70" s="15">
        <f t="shared" si="43"/>
        <v>597818.64479542919</v>
      </c>
      <c r="BY70" s="15">
        <f t="shared" si="43"/>
        <v>0</v>
      </c>
      <c r="BZ70" s="15">
        <f t="shared" si="43"/>
        <v>142189.97775000008</v>
      </c>
      <c r="CA70" s="15">
        <f t="shared" si="43"/>
        <v>1844121.5804825788</v>
      </c>
      <c r="CB70" s="15">
        <f t="shared" si="43"/>
        <v>0</v>
      </c>
      <c r="CC70" s="21"/>
      <c r="CD70" s="21"/>
    </row>
    <row r="71" spans="1:82" s="32" customFormat="1" x14ac:dyDescent="0.2">
      <c r="A71" s="21"/>
      <c r="C71" s="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21"/>
      <c r="CD71" s="21"/>
    </row>
    <row r="72" spans="1:82" x14ac:dyDescent="0.2">
      <c r="B72" s="38" t="s">
        <v>156</v>
      </c>
      <c r="C72" s="5">
        <f t="shared" si="40"/>
        <v>-1911090.0027779161</v>
      </c>
      <c r="D72" s="5">
        <f t="shared" ref="D72:AI72" si="44">D65</f>
        <v>0</v>
      </c>
      <c r="E72" s="5">
        <f t="shared" si="44"/>
        <v>0</v>
      </c>
      <c r="F72" s="5">
        <f t="shared" si="44"/>
        <v>0</v>
      </c>
      <c r="G72" s="5">
        <f t="shared" si="44"/>
        <v>0</v>
      </c>
      <c r="H72" s="5">
        <f t="shared" si="44"/>
        <v>-79579.881008817349</v>
      </c>
      <c r="I72" s="5">
        <f t="shared" si="44"/>
        <v>0</v>
      </c>
      <c r="J72" s="5">
        <f t="shared" si="44"/>
        <v>0</v>
      </c>
      <c r="K72" s="5">
        <f t="shared" si="44"/>
        <v>0</v>
      </c>
      <c r="L72" s="5">
        <f t="shared" si="44"/>
        <v>0</v>
      </c>
      <c r="M72" s="5">
        <f t="shared" si="44"/>
        <v>0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0</v>
      </c>
      <c r="T72" s="5">
        <f t="shared" si="44"/>
        <v>0</v>
      </c>
      <c r="U72" s="5">
        <f t="shared" si="44"/>
        <v>0</v>
      </c>
      <c r="V72" s="5">
        <f t="shared" si="44"/>
        <v>0</v>
      </c>
      <c r="W72" s="5">
        <f t="shared" si="44"/>
        <v>0</v>
      </c>
      <c r="X72" s="5">
        <f t="shared" si="44"/>
        <v>0</v>
      </c>
      <c r="Y72" s="5">
        <f t="shared" si="44"/>
        <v>0</v>
      </c>
      <c r="Z72" s="5">
        <f t="shared" si="44"/>
        <v>0</v>
      </c>
      <c r="AA72" s="5">
        <f t="shared" si="44"/>
        <v>0</v>
      </c>
      <c r="AB72" s="5">
        <f t="shared" si="44"/>
        <v>0</v>
      </c>
      <c r="AC72" s="5">
        <f t="shared" si="44"/>
        <v>0</v>
      </c>
      <c r="AD72" s="5">
        <f t="shared" si="44"/>
        <v>0</v>
      </c>
      <c r="AE72" s="5">
        <f t="shared" si="44"/>
        <v>-861241.75793181313</v>
      </c>
      <c r="AF72" s="5">
        <f t="shared" si="44"/>
        <v>0</v>
      </c>
      <c r="AG72" s="5">
        <f t="shared" si="44"/>
        <v>0</v>
      </c>
      <c r="AH72" s="5">
        <f t="shared" si="44"/>
        <v>0</v>
      </c>
      <c r="AI72" s="5">
        <f t="shared" si="44"/>
        <v>0</v>
      </c>
      <c r="AJ72" s="5">
        <f t="shared" ref="AJ72:BO72" si="45">AJ65</f>
        <v>0</v>
      </c>
      <c r="AK72" s="5">
        <f t="shared" si="45"/>
        <v>0</v>
      </c>
      <c r="AL72" s="5">
        <f t="shared" si="45"/>
        <v>0</v>
      </c>
      <c r="AM72" s="5">
        <f t="shared" si="45"/>
        <v>0</v>
      </c>
      <c r="AN72" s="5">
        <f t="shared" si="45"/>
        <v>0</v>
      </c>
      <c r="AO72" s="5">
        <f t="shared" si="45"/>
        <v>0</v>
      </c>
      <c r="AP72" s="5">
        <f t="shared" si="45"/>
        <v>0</v>
      </c>
      <c r="AQ72" s="5">
        <f t="shared" si="45"/>
        <v>0</v>
      </c>
      <c r="AR72" s="5">
        <f t="shared" si="45"/>
        <v>0</v>
      </c>
      <c r="AS72" s="5">
        <f t="shared" si="45"/>
        <v>-777209.89218314877</v>
      </c>
      <c r="AT72" s="5">
        <f t="shared" si="45"/>
        <v>0</v>
      </c>
      <c r="AU72" s="5">
        <f t="shared" si="45"/>
        <v>0</v>
      </c>
      <c r="AV72" s="5">
        <f t="shared" si="45"/>
        <v>0</v>
      </c>
      <c r="AW72" s="5">
        <f t="shared" si="45"/>
        <v>0</v>
      </c>
      <c r="AX72" s="5">
        <f t="shared" si="45"/>
        <v>0</v>
      </c>
      <c r="AY72" s="5">
        <f t="shared" si="45"/>
        <v>0</v>
      </c>
      <c r="AZ72" s="5">
        <f t="shared" si="45"/>
        <v>0</v>
      </c>
      <c r="BA72" s="5">
        <f t="shared" si="45"/>
        <v>0</v>
      </c>
      <c r="BB72" s="5">
        <f t="shared" si="45"/>
        <v>0</v>
      </c>
      <c r="BC72" s="5">
        <f t="shared" si="45"/>
        <v>0</v>
      </c>
      <c r="BD72" s="5">
        <f t="shared" si="45"/>
        <v>0</v>
      </c>
      <c r="BE72" s="5">
        <f t="shared" si="45"/>
        <v>0</v>
      </c>
      <c r="BF72" s="5">
        <f t="shared" si="45"/>
        <v>0</v>
      </c>
      <c r="BG72" s="5">
        <f t="shared" si="45"/>
        <v>0</v>
      </c>
      <c r="BH72" s="5">
        <f t="shared" si="45"/>
        <v>0</v>
      </c>
      <c r="BI72" s="5">
        <f t="shared" si="45"/>
        <v>0</v>
      </c>
      <c r="BJ72" s="5">
        <f t="shared" si="45"/>
        <v>0</v>
      </c>
      <c r="BK72" s="5">
        <f t="shared" si="45"/>
        <v>0</v>
      </c>
      <c r="BL72" s="5">
        <f t="shared" si="45"/>
        <v>0</v>
      </c>
      <c r="BM72" s="5">
        <f t="shared" si="45"/>
        <v>0</v>
      </c>
      <c r="BN72" s="5">
        <f t="shared" si="45"/>
        <v>0</v>
      </c>
      <c r="BO72" s="5">
        <f t="shared" si="45"/>
        <v>0</v>
      </c>
      <c r="BP72" s="5">
        <f t="shared" ref="BP72:CB72" si="46">BP65</f>
        <v>0</v>
      </c>
      <c r="BQ72" s="5">
        <f t="shared" si="46"/>
        <v>0</v>
      </c>
      <c r="BR72" s="5">
        <f t="shared" si="46"/>
        <v>0</v>
      </c>
      <c r="BS72" s="5">
        <f t="shared" si="46"/>
        <v>0</v>
      </c>
      <c r="BT72" s="5">
        <f t="shared" si="46"/>
        <v>0</v>
      </c>
      <c r="BU72" s="5">
        <f t="shared" si="46"/>
        <v>0</v>
      </c>
      <c r="BV72" s="5">
        <f t="shared" si="46"/>
        <v>-193058.47165413681</v>
      </c>
      <c r="BW72" s="5">
        <f t="shared" si="46"/>
        <v>0</v>
      </c>
      <c r="BX72" s="5">
        <f t="shared" si="46"/>
        <v>0</v>
      </c>
      <c r="BY72" s="5">
        <f t="shared" si="46"/>
        <v>0</v>
      </c>
      <c r="BZ72" s="5">
        <f t="shared" si="46"/>
        <v>0</v>
      </c>
      <c r="CA72" s="5">
        <f t="shared" si="46"/>
        <v>0</v>
      </c>
      <c r="CB72" s="5">
        <f t="shared" si="46"/>
        <v>0</v>
      </c>
    </row>
    <row r="73" spans="1:82" x14ac:dyDescent="0.2">
      <c r="B73" s="3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2" s="32" customFormat="1" x14ac:dyDescent="0.2">
      <c r="B74" s="159" t="s">
        <v>197</v>
      </c>
      <c r="C74" s="160">
        <f t="shared" si="40"/>
        <v>38316400</v>
      </c>
      <c r="D74" s="160">
        <f>ROUND(D70+D72,-2)</f>
        <v>0</v>
      </c>
      <c r="E74" s="160">
        <f t="shared" ref="E74:BP74" si="47">ROUND(E70+E72,-2)</f>
        <v>0</v>
      </c>
      <c r="F74" s="160">
        <f t="shared" si="47"/>
        <v>402900</v>
      </c>
      <c r="G74" s="160">
        <f t="shared" si="47"/>
        <v>636900</v>
      </c>
      <c r="H74" s="160">
        <f t="shared" si="47"/>
        <v>0</v>
      </c>
      <c r="I74" s="160">
        <f t="shared" si="47"/>
        <v>0</v>
      </c>
      <c r="J74" s="160">
        <f t="shared" si="47"/>
        <v>0</v>
      </c>
      <c r="K74" s="160">
        <f t="shared" si="47"/>
        <v>70300</v>
      </c>
      <c r="L74" s="160">
        <f t="shared" si="47"/>
        <v>0</v>
      </c>
      <c r="M74" s="160">
        <f t="shared" si="47"/>
        <v>292300</v>
      </c>
      <c r="N74" s="160">
        <f t="shared" si="47"/>
        <v>635300</v>
      </c>
      <c r="O74" s="160">
        <f t="shared" si="47"/>
        <v>0</v>
      </c>
      <c r="P74" s="160">
        <f t="shared" si="47"/>
        <v>0</v>
      </c>
      <c r="Q74" s="160">
        <f t="shared" si="47"/>
        <v>0</v>
      </c>
      <c r="R74" s="160">
        <f t="shared" si="47"/>
        <v>0</v>
      </c>
      <c r="S74" s="160">
        <f t="shared" si="47"/>
        <v>0</v>
      </c>
      <c r="T74" s="160">
        <f t="shared" si="47"/>
        <v>0</v>
      </c>
      <c r="U74" s="160">
        <f t="shared" si="47"/>
        <v>0</v>
      </c>
      <c r="V74" s="160">
        <f t="shared" si="47"/>
        <v>0</v>
      </c>
      <c r="W74" s="160">
        <f t="shared" si="47"/>
        <v>0</v>
      </c>
      <c r="X74" s="160">
        <f t="shared" si="47"/>
        <v>0</v>
      </c>
      <c r="Y74" s="160">
        <f t="shared" si="47"/>
        <v>0</v>
      </c>
      <c r="Z74" s="160">
        <f t="shared" si="47"/>
        <v>138600</v>
      </c>
      <c r="AA74" s="160">
        <f t="shared" si="47"/>
        <v>1068900</v>
      </c>
      <c r="AB74" s="160">
        <f t="shared" si="47"/>
        <v>246000</v>
      </c>
      <c r="AC74" s="160">
        <f t="shared" si="47"/>
        <v>1482600</v>
      </c>
      <c r="AD74" s="160">
        <f t="shared" si="47"/>
        <v>298900</v>
      </c>
      <c r="AE74" s="160">
        <f t="shared" si="47"/>
        <v>0</v>
      </c>
      <c r="AF74" s="160">
        <f t="shared" si="47"/>
        <v>467200</v>
      </c>
      <c r="AG74" s="160">
        <f t="shared" si="47"/>
        <v>1073400</v>
      </c>
      <c r="AH74" s="160">
        <f t="shared" si="47"/>
        <v>0</v>
      </c>
      <c r="AI74" s="160">
        <f t="shared" si="47"/>
        <v>178200</v>
      </c>
      <c r="AJ74" s="160">
        <f t="shared" si="47"/>
        <v>384700</v>
      </c>
      <c r="AK74" s="160">
        <f t="shared" si="47"/>
        <v>0</v>
      </c>
      <c r="AL74" s="160">
        <f t="shared" si="47"/>
        <v>199400</v>
      </c>
      <c r="AM74" s="160">
        <f t="shared" si="47"/>
        <v>0</v>
      </c>
      <c r="AN74" s="160">
        <f t="shared" si="47"/>
        <v>2370300</v>
      </c>
      <c r="AO74" s="160">
        <f t="shared" si="47"/>
        <v>1317700</v>
      </c>
      <c r="AP74" s="160">
        <f t="shared" si="47"/>
        <v>1125400</v>
      </c>
      <c r="AQ74" s="160">
        <f t="shared" si="47"/>
        <v>0</v>
      </c>
      <c r="AR74" s="160">
        <f t="shared" si="47"/>
        <v>479400</v>
      </c>
      <c r="AS74" s="160">
        <f t="shared" si="47"/>
        <v>755400</v>
      </c>
      <c r="AT74" s="160">
        <f t="shared" si="47"/>
        <v>0</v>
      </c>
      <c r="AU74" s="160">
        <f t="shared" si="47"/>
        <v>357400</v>
      </c>
      <c r="AV74" s="160">
        <f t="shared" si="47"/>
        <v>206900</v>
      </c>
      <c r="AW74" s="160">
        <f t="shared" si="47"/>
        <v>0</v>
      </c>
      <c r="AX74" s="160">
        <f t="shared" si="47"/>
        <v>151800</v>
      </c>
      <c r="AY74" s="160">
        <f t="shared" si="47"/>
        <v>0</v>
      </c>
      <c r="AZ74" s="160">
        <f t="shared" si="47"/>
        <v>0</v>
      </c>
      <c r="BA74" s="160">
        <f t="shared" si="47"/>
        <v>0</v>
      </c>
      <c r="BB74" s="160">
        <f t="shared" si="47"/>
        <v>1499900</v>
      </c>
      <c r="BC74" s="160">
        <f t="shared" si="47"/>
        <v>2252700</v>
      </c>
      <c r="BD74" s="160">
        <f t="shared" si="47"/>
        <v>2419600</v>
      </c>
      <c r="BE74" s="160">
        <f t="shared" si="47"/>
        <v>1399800</v>
      </c>
      <c r="BF74" s="160">
        <f t="shared" si="47"/>
        <v>1125800</v>
      </c>
      <c r="BG74" s="160">
        <f t="shared" si="47"/>
        <v>0</v>
      </c>
      <c r="BH74" s="160">
        <f t="shared" si="47"/>
        <v>770500</v>
      </c>
      <c r="BI74" s="160">
        <f t="shared" si="47"/>
        <v>2744300</v>
      </c>
      <c r="BJ74" s="160">
        <f t="shared" si="47"/>
        <v>1377900</v>
      </c>
      <c r="BK74" s="160">
        <f t="shared" si="47"/>
        <v>868100</v>
      </c>
      <c r="BL74" s="160">
        <f t="shared" si="47"/>
        <v>634600</v>
      </c>
      <c r="BM74" s="160">
        <f t="shared" si="47"/>
        <v>1956400</v>
      </c>
      <c r="BN74" s="160">
        <f t="shared" si="47"/>
        <v>2279000</v>
      </c>
      <c r="BO74" s="160">
        <f t="shared" si="47"/>
        <v>62900</v>
      </c>
      <c r="BP74" s="160">
        <f t="shared" si="47"/>
        <v>0</v>
      </c>
      <c r="BQ74" s="160">
        <f t="shared" ref="BQ74:CB74" si="48">ROUND(BQ70+BQ72,-2)</f>
        <v>0</v>
      </c>
      <c r="BR74" s="160">
        <f t="shared" si="48"/>
        <v>0</v>
      </c>
      <c r="BS74" s="160">
        <f t="shared" si="48"/>
        <v>904600</v>
      </c>
      <c r="BT74" s="160">
        <f t="shared" si="48"/>
        <v>0</v>
      </c>
      <c r="BU74" s="160">
        <f t="shared" si="48"/>
        <v>0</v>
      </c>
      <c r="BV74" s="160">
        <f t="shared" si="48"/>
        <v>544900</v>
      </c>
      <c r="BW74" s="160">
        <f t="shared" si="48"/>
        <v>551400</v>
      </c>
      <c r="BX74" s="160">
        <f t="shared" si="48"/>
        <v>597800</v>
      </c>
      <c r="BY74" s="160">
        <f t="shared" si="48"/>
        <v>0</v>
      </c>
      <c r="BZ74" s="160">
        <f t="shared" si="48"/>
        <v>142200</v>
      </c>
      <c r="CA74" s="160">
        <f t="shared" si="48"/>
        <v>1844100</v>
      </c>
      <c r="CB74" s="160">
        <f t="shared" si="48"/>
        <v>0</v>
      </c>
    </row>
    <row r="75" spans="1:82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2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1:82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1:82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1:82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1:82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3:80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3:80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3:80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  <row r="84" spans="3:80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  <row r="85" spans="3:80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</row>
    <row r="86" spans="3:80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</row>
    <row r="87" spans="3:80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</row>
    <row r="88" spans="3:80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</row>
    <row r="89" spans="3:80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</row>
    <row r="90" spans="3:80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</row>
    <row r="91" spans="3:80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</row>
    <row r="92" spans="3:80" x14ac:dyDescent="0.2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</row>
    <row r="93" spans="3:80" x14ac:dyDescent="0.2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</row>
    <row r="94" spans="3:80" x14ac:dyDescent="0.2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</row>
    <row r="95" spans="3:80" x14ac:dyDescent="0.2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</row>
    <row r="96" spans="3:80" x14ac:dyDescent="0.2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</row>
    <row r="97" spans="3:80" x14ac:dyDescent="0.2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</row>
    <row r="98" spans="3:80" x14ac:dyDescent="0.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</row>
    <row r="99" spans="3:80" x14ac:dyDescent="0.2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</row>
    <row r="100" spans="3:80" x14ac:dyDescent="0.2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</row>
    <row r="101" spans="3:80" x14ac:dyDescent="0.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</row>
    <row r="102" spans="3:80" x14ac:dyDescent="0.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D84"/>
  <sheetViews>
    <sheetView zoomScale="90" zoomScaleNormal="90" workbookViewId="0">
      <pane xSplit="3" ySplit="9" topLeftCell="D10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" style="3" customWidth="1"/>
    <col min="2" max="2" width="52.42578125" style="3" customWidth="1"/>
    <col min="3" max="80" width="21" style="3" customWidth="1"/>
    <col min="81" max="81" width="2.140625" style="3" customWidth="1"/>
    <col min="82" max="82" width="20.7109375" style="3" bestFit="1" customWidth="1"/>
    <col min="83" max="16384" width="11.42578125" style="38"/>
  </cols>
  <sheetData>
    <row r="1" spans="1:82" x14ac:dyDescent="0.2">
      <c r="A1" s="83" t="s">
        <v>217</v>
      </c>
      <c r="B1"/>
      <c r="C1"/>
      <c r="D1" s="166" t="s">
        <v>300</v>
      </c>
      <c r="E1" s="104"/>
      <c r="F1" s="104"/>
      <c r="G1" s="104"/>
      <c r="H1" s="104"/>
      <c r="I1" s="104"/>
    </row>
    <row r="2" spans="1:82" x14ac:dyDescent="0.2">
      <c r="A2" t="s">
        <v>218</v>
      </c>
      <c r="B2"/>
      <c r="C2"/>
      <c r="D2" s="165">
        <v>44406</v>
      </c>
      <c r="E2" s="104" t="s">
        <v>303</v>
      </c>
      <c r="F2" s="104"/>
      <c r="G2" s="104"/>
      <c r="H2" s="104"/>
      <c r="I2" s="104"/>
    </row>
    <row r="3" spans="1:82" x14ac:dyDescent="0.2">
      <c r="A3"/>
      <c r="B3"/>
      <c r="C3"/>
      <c r="D3" s="104"/>
      <c r="E3" s="104"/>
      <c r="F3" s="104"/>
      <c r="G3" s="104"/>
      <c r="H3" s="104"/>
      <c r="I3" s="104"/>
    </row>
    <row r="4" spans="1:82" x14ac:dyDescent="0.2">
      <c r="A4"/>
      <c r="B4"/>
      <c r="C4"/>
      <c r="D4" s="104"/>
      <c r="E4" s="104"/>
      <c r="F4" s="104"/>
      <c r="G4" s="104"/>
      <c r="H4" s="104"/>
      <c r="I4" s="104"/>
    </row>
    <row r="5" spans="1:82" ht="26.25" x14ac:dyDescent="0.4">
      <c r="A5" s="18" t="s">
        <v>128</v>
      </c>
      <c r="D5" s="166"/>
      <c r="E5" s="104"/>
      <c r="F5" s="104"/>
      <c r="G5" s="104"/>
      <c r="H5" s="104"/>
      <c r="I5" s="104"/>
    </row>
    <row r="6" spans="1:82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2" x14ac:dyDescent="0.2">
      <c r="B7" s="20" t="s">
        <v>113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2" s="32" customFormat="1" x14ac:dyDescent="0.2">
      <c r="A8" s="21"/>
      <c r="B8" s="21"/>
      <c r="C8" s="21" t="s">
        <v>82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21" t="s">
        <v>61</v>
      </c>
      <c r="BI8" s="21" t="s">
        <v>62</v>
      </c>
      <c r="BJ8" s="21" t="s">
        <v>63</v>
      </c>
      <c r="BK8" s="21" t="s">
        <v>64</v>
      </c>
      <c r="BL8" s="21" t="s">
        <v>65</v>
      </c>
      <c r="BM8" s="21" t="s">
        <v>66</v>
      </c>
      <c r="BN8" s="21" t="s">
        <v>67</v>
      </c>
      <c r="BO8" s="21" t="s">
        <v>68</v>
      </c>
      <c r="BP8" s="21" t="s">
        <v>69</v>
      </c>
      <c r="BQ8" s="21" t="s">
        <v>70</v>
      </c>
      <c r="BR8" s="21" t="s">
        <v>71</v>
      </c>
      <c r="BS8" s="21" t="s">
        <v>72</v>
      </c>
      <c r="BT8" s="21" t="s">
        <v>73</v>
      </c>
      <c r="BU8" s="21" t="s">
        <v>74</v>
      </c>
      <c r="BV8" s="21" t="s">
        <v>75</v>
      </c>
      <c r="BW8" s="21" t="s">
        <v>76</v>
      </c>
      <c r="BX8" s="21" t="s">
        <v>77</v>
      </c>
      <c r="BY8" s="21" t="s">
        <v>78</v>
      </c>
      <c r="BZ8" s="21" t="s">
        <v>79</v>
      </c>
      <c r="CA8" s="21" t="s">
        <v>80</v>
      </c>
      <c r="CB8" s="21" t="s">
        <v>81</v>
      </c>
      <c r="CC8" s="21"/>
      <c r="CD8" s="21" t="s">
        <v>114</v>
      </c>
    </row>
    <row r="10" spans="1:82" s="56" customFormat="1" ht="15.75" x14ac:dyDescent="0.25">
      <c r="A10" s="22" t="s">
        <v>102</v>
      </c>
      <c r="B10" s="23" t="s">
        <v>129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x14ac:dyDescent="0.2">
      <c r="B11" s="24"/>
      <c r="C11" s="24"/>
    </row>
    <row r="12" spans="1:82" x14ac:dyDescent="0.2">
      <c r="A12" s="38"/>
      <c r="B12" s="59" t="str">
        <f>'Ressourcenausgleich Basis'!B124</f>
        <v>Einwohnerzahl per 31.12.</v>
      </c>
      <c r="C12" s="60">
        <f>'Ressourcenausgleich Basis'!C124</f>
        <v>510734</v>
      </c>
      <c r="D12" s="60">
        <f>'Ressourcenausgleich Basis'!D124</f>
        <v>76090</v>
      </c>
      <c r="E12" s="60">
        <f>'Ressourcenausgleich Basis'!E124</f>
        <v>9706</v>
      </c>
      <c r="F12" s="60">
        <f>'Ressourcenausgleich Basis'!F124</f>
        <v>1390</v>
      </c>
      <c r="G12" s="60">
        <f>'Ressourcenausgleich Basis'!G124</f>
        <v>1220</v>
      </c>
      <c r="H12" s="60">
        <f>'Ressourcenausgleich Basis'!H124</f>
        <v>3658</v>
      </c>
      <c r="I12" s="60">
        <f>'Ressourcenausgleich Basis'!I124</f>
        <v>9504</v>
      </c>
      <c r="J12" s="60">
        <f>'Ressourcenausgleich Basis'!J124</f>
        <v>3608</v>
      </c>
      <c r="K12" s="60">
        <f>'Ressourcenausgleich Basis'!K124</f>
        <v>851</v>
      </c>
      <c r="L12" s="60">
        <f>'Ressourcenausgleich Basis'!L124</f>
        <v>1438</v>
      </c>
      <c r="M12" s="60">
        <f>'Ressourcenausgleich Basis'!M124</f>
        <v>1046</v>
      </c>
      <c r="N12" s="60">
        <f>'Ressourcenausgleich Basis'!N124</f>
        <v>2339</v>
      </c>
      <c r="O12" s="60">
        <f>'Ressourcenausgleich Basis'!O124</f>
        <v>7382</v>
      </c>
      <c r="P12" s="60">
        <f>'Ressourcenausgleich Basis'!P124</f>
        <v>9438</v>
      </c>
      <c r="Q12" s="60">
        <f>'Ressourcenausgleich Basis'!Q124</f>
        <v>6565</v>
      </c>
      <c r="R12" s="60">
        <f>'Ressourcenausgleich Basis'!R124</f>
        <v>3398</v>
      </c>
      <c r="S12" s="60">
        <f>'Ressourcenausgleich Basis'!S124</f>
        <v>5960</v>
      </c>
      <c r="T12" s="60">
        <f>'Ressourcenausgleich Basis'!T124</f>
        <v>7809</v>
      </c>
      <c r="U12" s="60">
        <f>'Ressourcenausgleich Basis'!U124</f>
        <v>3936</v>
      </c>
      <c r="V12" s="60">
        <f>'Ressourcenausgleich Basis'!V124</f>
        <v>4891</v>
      </c>
      <c r="W12" s="60">
        <f>'Ressourcenausgleich Basis'!W124</f>
        <v>6465</v>
      </c>
      <c r="X12" s="60">
        <f>'Ressourcenausgleich Basis'!X124</f>
        <v>9756</v>
      </c>
      <c r="Y12" s="60">
        <f>'Ressourcenausgleich Basis'!Y124</f>
        <v>4533</v>
      </c>
      <c r="Z12" s="60">
        <f>'Ressourcenausgleich Basis'!Z124</f>
        <v>2110</v>
      </c>
      <c r="AA12" s="60">
        <f>'Ressourcenausgleich Basis'!AA124</f>
        <v>11877</v>
      </c>
      <c r="AB12" s="60">
        <f>'Ressourcenausgleich Basis'!AB124</f>
        <v>1520</v>
      </c>
      <c r="AC12" s="60">
        <f>'Ressourcenausgleich Basis'!AC124</f>
        <v>8979</v>
      </c>
      <c r="AD12" s="60">
        <f>'Ressourcenausgleich Basis'!AD124</f>
        <v>2412</v>
      </c>
      <c r="AE12" s="60">
        <f>'Ressourcenausgleich Basis'!AE124</f>
        <v>5665</v>
      </c>
      <c r="AF12" s="60">
        <f>'Ressourcenausgleich Basis'!AF124</f>
        <v>3550</v>
      </c>
      <c r="AG12" s="60">
        <f>'Ressourcenausgleich Basis'!AG124</f>
        <v>7147</v>
      </c>
      <c r="AH12" s="60">
        <f>'Ressourcenausgleich Basis'!AH124</f>
        <v>12861</v>
      </c>
      <c r="AI12" s="60">
        <f>'Ressourcenausgleich Basis'!AI124</f>
        <v>5112</v>
      </c>
      <c r="AJ12" s="60">
        <f>'Ressourcenausgleich Basis'!AJ124</f>
        <v>5295</v>
      </c>
      <c r="AK12" s="60">
        <f>'Ressourcenausgleich Basis'!AK124</f>
        <v>6200</v>
      </c>
      <c r="AL12" s="60">
        <f>'Ressourcenausgleich Basis'!AL124</f>
        <v>4884</v>
      </c>
      <c r="AM12" s="60">
        <f>'Ressourcenausgleich Basis'!AM124</f>
        <v>6264</v>
      </c>
      <c r="AN12" s="60">
        <f>'Ressourcenausgleich Basis'!AN124</f>
        <v>1556</v>
      </c>
      <c r="AO12" s="60">
        <f>'Ressourcenausgleich Basis'!AO124</f>
        <v>8561</v>
      </c>
      <c r="AP12" s="60">
        <f>'Ressourcenausgleich Basis'!AP124</f>
        <v>4889</v>
      </c>
      <c r="AQ12" s="60">
        <f>'Ressourcenausgleich Basis'!AQ124</f>
        <v>5705</v>
      </c>
      <c r="AR12" s="60">
        <f>'Ressourcenausgleich Basis'!AR124</f>
        <v>2949</v>
      </c>
      <c r="AS12" s="60">
        <f>'Ressourcenausgleich Basis'!AS124</f>
        <v>1823</v>
      </c>
      <c r="AT12" s="60">
        <f>'Ressourcenausgleich Basis'!AT124</f>
        <v>1717</v>
      </c>
      <c r="AU12" s="60">
        <f>'Ressourcenausgleich Basis'!AU124</f>
        <v>3876</v>
      </c>
      <c r="AV12" s="60">
        <f>'Ressourcenausgleich Basis'!AV124</f>
        <v>2982</v>
      </c>
      <c r="AW12" s="60">
        <f>'Ressourcenausgleich Basis'!AW124</f>
        <v>4924</v>
      </c>
      <c r="AX12" s="60">
        <f>'Ressourcenausgleich Basis'!AX124</f>
        <v>5218</v>
      </c>
      <c r="AY12" s="60">
        <f>'Ressourcenausgleich Basis'!AY124</f>
        <v>6489</v>
      </c>
      <c r="AZ12" s="60">
        <f>'Ressourcenausgleich Basis'!AZ124</f>
        <v>3766</v>
      </c>
      <c r="BA12" s="60">
        <f>'Ressourcenausgleich Basis'!BA124</f>
        <v>27277</v>
      </c>
      <c r="BB12" s="60">
        <f>'Ressourcenausgleich Basis'!BB124</f>
        <v>9584</v>
      </c>
      <c r="BC12" s="60">
        <f>'Ressourcenausgleich Basis'!BC124</f>
        <v>2606</v>
      </c>
      <c r="BD12" s="60">
        <f>'Ressourcenausgleich Basis'!BD124</f>
        <v>3545</v>
      </c>
      <c r="BE12" s="60">
        <f>'Ressourcenausgleich Basis'!BE124</f>
        <v>5001</v>
      </c>
      <c r="BF12" s="60">
        <f>'Ressourcenausgleich Basis'!BF124</f>
        <v>8761</v>
      </c>
      <c r="BG12" s="60">
        <f>'Ressourcenausgleich Basis'!BG124</f>
        <v>1896</v>
      </c>
      <c r="BH12" s="60">
        <f>'Ressourcenausgleich Basis'!BH124</f>
        <v>1251</v>
      </c>
      <c r="BI12" s="60">
        <f>'Ressourcenausgleich Basis'!BI124</f>
        <v>4044</v>
      </c>
      <c r="BJ12" s="60">
        <f>'Ressourcenausgleich Basis'!BJ124</f>
        <v>902</v>
      </c>
      <c r="BK12" s="60">
        <f>'Ressourcenausgleich Basis'!BK124</f>
        <v>4987</v>
      </c>
      <c r="BL12" s="60">
        <f>'Ressourcenausgleich Basis'!BL124</f>
        <v>1606</v>
      </c>
      <c r="BM12" s="60">
        <f>'Ressourcenausgleich Basis'!BM124</f>
        <v>2847</v>
      </c>
      <c r="BN12" s="60">
        <f>'Ressourcenausgleich Basis'!BN124</f>
        <v>9100</v>
      </c>
      <c r="BO12" s="60">
        <f>'Ressourcenausgleich Basis'!BO124</f>
        <v>3834</v>
      </c>
      <c r="BP12" s="60">
        <f>'Ressourcenausgleich Basis'!BP124</f>
        <v>6403</v>
      </c>
      <c r="BQ12" s="60">
        <f>'Ressourcenausgleich Basis'!BQ124</f>
        <v>13129</v>
      </c>
      <c r="BR12" s="60">
        <f>'Ressourcenausgleich Basis'!BR124</f>
        <v>10425</v>
      </c>
      <c r="BS12" s="60">
        <f>'Ressourcenausgleich Basis'!BS124</f>
        <v>4121</v>
      </c>
      <c r="BT12" s="60">
        <f>'Ressourcenausgleich Basis'!BT124</f>
        <v>24159</v>
      </c>
      <c r="BU12" s="60">
        <f>'Ressourcenausgleich Basis'!BU124</f>
        <v>4792</v>
      </c>
      <c r="BV12" s="60">
        <f>'Ressourcenausgleich Basis'!BV124</f>
        <v>4542</v>
      </c>
      <c r="BW12" s="60">
        <f>'Ressourcenausgleich Basis'!BW124</f>
        <v>1505</v>
      </c>
      <c r="BX12" s="60">
        <f>'Ressourcenausgleich Basis'!BX124</f>
        <v>3136</v>
      </c>
      <c r="BY12" s="60">
        <f>'Ressourcenausgleich Basis'!BY124</f>
        <v>18108</v>
      </c>
      <c r="BZ12" s="60">
        <f>'Ressourcenausgleich Basis'!BZ124</f>
        <v>1999</v>
      </c>
      <c r="CA12" s="60">
        <f>'Ressourcenausgleich Basis'!CA124</f>
        <v>3533</v>
      </c>
      <c r="CB12" s="60">
        <f>'Ressourcenausgleich Basis'!CB124</f>
        <v>8327</v>
      </c>
      <c r="CC12" s="38"/>
      <c r="CD12" s="38"/>
    </row>
    <row r="13" spans="1:82" s="32" customFormat="1" x14ac:dyDescent="0.2">
      <c r="A13" s="30"/>
      <c r="B13" s="31"/>
    </row>
    <row r="14" spans="1:82" x14ac:dyDescent="0.2">
      <c r="A14" s="38"/>
      <c r="B14" s="30" t="s">
        <v>130</v>
      </c>
      <c r="C14" s="51">
        <f>SUM(D14:CB14)</f>
        <v>56403</v>
      </c>
      <c r="D14" s="49">
        <v>6965</v>
      </c>
      <c r="E14" s="49">
        <v>1092</v>
      </c>
      <c r="F14" s="49">
        <v>187</v>
      </c>
      <c r="G14" s="49">
        <v>154</v>
      </c>
      <c r="H14" s="49">
        <v>423</v>
      </c>
      <c r="I14" s="49">
        <v>986</v>
      </c>
      <c r="J14" s="49">
        <v>383</v>
      </c>
      <c r="K14" s="49">
        <v>98</v>
      </c>
      <c r="L14" s="49">
        <v>196</v>
      </c>
      <c r="M14" s="49">
        <v>143</v>
      </c>
      <c r="N14" s="49">
        <v>300</v>
      </c>
      <c r="O14" s="49">
        <v>698</v>
      </c>
      <c r="P14" s="49">
        <v>927</v>
      </c>
      <c r="Q14" s="49">
        <v>683</v>
      </c>
      <c r="R14" s="49">
        <v>305</v>
      </c>
      <c r="S14" s="49">
        <v>650</v>
      </c>
      <c r="T14" s="49">
        <v>797</v>
      </c>
      <c r="U14" s="49">
        <v>451</v>
      </c>
      <c r="V14" s="49">
        <v>508</v>
      </c>
      <c r="W14" s="49">
        <v>779</v>
      </c>
      <c r="X14" s="49">
        <v>1091</v>
      </c>
      <c r="Y14" s="49">
        <v>473</v>
      </c>
      <c r="Z14" s="49">
        <v>259</v>
      </c>
      <c r="AA14" s="49">
        <v>1302</v>
      </c>
      <c r="AB14" s="49">
        <v>194</v>
      </c>
      <c r="AC14" s="49">
        <v>1092</v>
      </c>
      <c r="AD14" s="49">
        <v>307</v>
      </c>
      <c r="AE14" s="49">
        <v>596</v>
      </c>
      <c r="AF14" s="49">
        <v>412</v>
      </c>
      <c r="AG14" s="49">
        <v>889</v>
      </c>
      <c r="AH14" s="49">
        <v>1370</v>
      </c>
      <c r="AI14" s="49">
        <v>595</v>
      </c>
      <c r="AJ14" s="49">
        <v>666</v>
      </c>
      <c r="AK14" s="49">
        <v>684</v>
      </c>
      <c r="AL14" s="49">
        <v>593</v>
      </c>
      <c r="AM14" s="49">
        <v>615</v>
      </c>
      <c r="AN14" s="49">
        <v>186</v>
      </c>
      <c r="AO14" s="49">
        <v>1072</v>
      </c>
      <c r="AP14" s="49">
        <v>548</v>
      </c>
      <c r="AQ14" s="49">
        <v>677</v>
      </c>
      <c r="AR14" s="49">
        <v>294</v>
      </c>
      <c r="AS14" s="49">
        <v>185</v>
      </c>
      <c r="AT14" s="49">
        <v>167</v>
      </c>
      <c r="AU14" s="49">
        <v>482</v>
      </c>
      <c r="AV14" s="49">
        <v>415</v>
      </c>
      <c r="AW14" s="49">
        <v>595</v>
      </c>
      <c r="AX14" s="49">
        <v>576</v>
      </c>
      <c r="AY14" s="49">
        <v>780</v>
      </c>
      <c r="AZ14" s="49">
        <v>422</v>
      </c>
      <c r="BA14" s="49">
        <v>2735</v>
      </c>
      <c r="BB14" s="49">
        <v>1164</v>
      </c>
      <c r="BC14" s="49">
        <v>323</v>
      </c>
      <c r="BD14" s="49">
        <v>380</v>
      </c>
      <c r="BE14" s="49">
        <v>579</v>
      </c>
      <c r="BF14" s="49">
        <v>948</v>
      </c>
      <c r="BG14" s="49">
        <v>190</v>
      </c>
      <c r="BH14" s="49">
        <v>170</v>
      </c>
      <c r="BI14" s="49">
        <v>467</v>
      </c>
      <c r="BJ14" s="49">
        <v>150</v>
      </c>
      <c r="BK14" s="49">
        <v>616</v>
      </c>
      <c r="BL14" s="49">
        <v>223</v>
      </c>
      <c r="BM14" s="49">
        <v>427</v>
      </c>
      <c r="BN14" s="49">
        <v>1242</v>
      </c>
      <c r="BO14" s="49">
        <v>544</v>
      </c>
      <c r="BP14" s="49">
        <v>770</v>
      </c>
      <c r="BQ14" s="49">
        <v>1556</v>
      </c>
      <c r="BR14" s="49">
        <v>1250</v>
      </c>
      <c r="BS14" s="49">
        <v>531</v>
      </c>
      <c r="BT14" s="49">
        <v>2478</v>
      </c>
      <c r="BU14" s="49">
        <v>536</v>
      </c>
      <c r="BV14" s="49">
        <v>545</v>
      </c>
      <c r="BW14" s="49">
        <v>215</v>
      </c>
      <c r="BX14" s="49">
        <v>452</v>
      </c>
      <c r="BY14" s="49">
        <v>1863</v>
      </c>
      <c r="BZ14" s="49">
        <v>307</v>
      </c>
      <c r="CA14" s="49">
        <v>534</v>
      </c>
      <c r="CB14" s="49">
        <v>946</v>
      </c>
      <c r="CC14" s="38"/>
      <c r="CD14" s="38" t="s">
        <v>137</v>
      </c>
    </row>
    <row r="15" spans="1:82" x14ac:dyDescent="0.2">
      <c r="A15" s="38"/>
      <c r="B15" s="30" t="s">
        <v>131</v>
      </c>
      <c r="C15" s="51">
        <f>SUM(D15:CB15)</f>
        <v>1394</v>
      </c>
      <c r="D15" s="49">
        <v>203</v>
      </c>
      <c r="E15" s="49">
        <v>40</v>
      </c>
      <c r="F15" s="49">
        <v>2</v>
      </c>
      <c r="G15" s="49">
        <v>3</v>
      </c>
      <c r="H15" s="49">
        <v>10</v>
      </c>
      <c r="I15" s="49">
        <v>35</v>
      </c>
      <c r="J15" s="49">
        <v>10</v>
      </c>
      <c r="K15" s="49">
        <v>0</v>
      </c>
      <c r="L15" s="49">
        <v>2</v>
      </c>
      <c r="M15" s="49">
        <v>3</v>
      </c>
      <c r="N15" s="49">
        <v>11</v>
      </c>
      <c r="O15" s="49">
        <v>22</v>
      </c>
      <c r="P15" s="49">
        <v>35</v>
      </c>
      <c r="Q15" s="49">
        <v>15</v>
      </c>
      <c r="R15" s="49">
        <v>12</v>
      </c>
      <c r="S15" s="49">
        <v>11</v>
      </c>
      <c r="T15" s="49">
        <v>25</v>
      </c>
      <c r="U15" s="49">
        <v>15</v>
      </c>
      <c r="V15" s="49">
        <v>8</v>
      </c>
      <c r="W15" s="49">
        <v>15</v>
      </c>
      <c r="X15" s="49">
        <v>26</v>
      </c>
      <c r="Y15" s="49">
        <v>16</v>
      </c>
      <c r="Z15" s="49">
        <v>3</v>
      </c>
      <c r="AA15" s="49">
        <v>30</v>
      </c>
      <c r="AB15" s="49">
        <v>2</v>
      </c>
      <c r="AC15" s="49">
        <v>24</v>
      </c>
      <c r="AD15" s="49">
        <v>2</v>
      </c>
      <c r="AE15" s="49">
        <v>12</v>
      </c>
      <c r="AF15" s="49">
        <v>8</v>
      </c>
      <c r="AG15" s="49">
        <v>15</v>
      </c>
      <c r="AH15" s="49">
        <v>32</v>
      </c>
      <c r="AI15" s="49">
        <v>15</v>
      </c>
      <c r="AJ15" s="49">
        <v>9</v>
      </c>
      <c r="AK15" s="49">
        <v>22</v>
      </c>
      <c r="AL15" s="49">
        <v>17</v>
      </c>
      <c r="AM15" s="49">
        <v>14</v>
      </c>
      <c r="AN15" s="49">
        <v>1</v>
      </c>
      <c r="AO15" s="49">
        <v>20</v>
      </c>
      <c r="AP15" s="49">
        <v>8</v>
      </c>
      <c r="AQ15" s="49">
        <v>12</v>
      </c>
      <c r="AR15" s="49">
        <v>6</v>
      </c>
      <c r="AS15" s="49">
        <v>2</v>
      </c>
      <c r="AT15" s="49">
        <v>2</v>
      </c>
      <c r="AU15" s="49">
        <v>15</v>
      </c>
      <c r="AV15" s="49">
        <v>14</v>
      </c>
      <c r="AW15" s="49">
        <v>13</v>
      </c>
      <c r="AX15" s="49">
        <v>8</v>
      </c>
      <c r="AY15" s="49">
        <v>27</v>
      </c>
      <c r="AZ15" s="49">
        <v>10</v>
      </c>
      <c r="BA15" s="49">
        <v>49</v>
      </c>
      <c r="BB15" s="49">
        <v>21</v>
      </c>
      <c r="BC15" s="49">
        <v>5</v>
      </c>
      <c r="BD15" s="49">
        <v>13</v>
      </c>
      <c r="BE15" s="49">
        <v>19</v>
      </c>
      <c r="BF15" s="49">
        <v>30</v>
      </c>
      <c r="BG15" s="49">
        <v>4</v>
      </c>
      <c r="BH15" s="49">
        <v>4</v>
      </c>
      <c r="BI15" s="49">
        <v>18</v>
      </c>
      <c r="BJ15" s="49">
        <v>3</v>
      </c>
      <c r="BK15" s="49">
        <v>13</v>
      </c>
      <c r="BL15" s="49">
        <v>13</v>
      </c>
      <c r="BM15" s="49">
        <v>6</v>
      </c>
      <c r="BN15" s="49">
        <v>40</v>
      </c>
      <c r="BO15" s="49">
        <v>2</v>
      </c>
      <c r="BP15" s="49">
        <v>23</v>
      </c>
      <c r="BQ15" s="49">
        <v>46</v>
      </c>
      <c r="BR15" s="49">
        <v>35</v>
      </c>
      <c r="BS15" s="49">
        <v>11</v>
      </c>
      <c r="BT15" s="49">
        <v>73</v>
      </c>
      <c r="BU15" s="49">
        <v>13</v>
      </c>
      <c r="BV15" s="49">
        <v>8</v>
      </c>
      <c r="BW15" s="49">
        <v>4</v>
      </c>
      <c r="BX15" s="49">
        <v>6</v>
      </c>
      <c r="BY15" s="49">
        <v>40</v>
      </c>
      <c r="BZ15" s="49">
        <v>2</v>
      </c>
      <c r="CA15" s="49">
        <v>6</v>
      </c>
      <c r="CB15" s="49">
        <v>25</v>
      </c>
      <c r="CC15" s="38"/>
      <c r="CD15" s="38" t="s">
        <v>137</v>
      </c>
    </row>
    <row r="16" spans="1:82" x14ac:dyDescent="0.2">
      <c r="A16" s="38"/>
      <c r="B16" s="3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38"/>
      <c r="CD16" s="38"/>
    </row>
    <row r="17" spans="1:82" x14ac:dyDescent="0.2">
      <c r="A17" s="38"/>
      <c r="B17" s="30" t="s">
        <v>133</v>
      </c>
      <c r="C17" s="5">
        <f>SUM(D17:CB17)</f>
        <v>1040945062.1900003</v>
      </c>
      <c r="D17" s="12">
        <v>133595406.19</v>
      </c>
      <c r="E17" s="12">
        <v>20089213.969999999</v>
      </c>
      <c r="F17" s="12">
        <v>3194599.04</v>
      </c>
      <c r="G17" s="12">
        <v>3008019.97</v>
      </c>
      <c r="H17" s="12">
        <v>8720033.6999999993</v>
      </c>
      <c r="I17" s="12">
        <v>17454842</v>
      </c>
      <c r="J17" s="12">
        <v>6765803.2000000002</v>
      </c>
      <c r="K17" s="12">
        <v>2086738.36</v>
      </c>
      <c r="L17" s="12">
        <v>2968390.25</v>
      </c>
      <c r="M17" s="12">
        <v>2510197.61</v>
      </c>
      <c r="N17" s="12">
        <v>5332260.13</v>
      </c>
      <c r="O17" s="12">
        <v>12914728.66</v>
      </c>
      <c r="P17" s="12">
        <v>17918565.649999999</v>
      </c>
      <c r="Q17" s="12">
        <v>12711387.210000001</v>
      </c>
      <c r="R17" s="12">
        <v>6168974.1900000004</v>
      </c>
      <c r="S17" s="12">
        <v>11342484.359999999</v>
      </c>
      <c r="T17" s="12">
        <v>15127746.76</v>
      </c>
      <c r="U17" s="12">
        <v>8404897.5</v>
      </c>
      <c r="V17" s="12">
        <v>8653639.1400000006</v>
      </c>
      <c r="W17" s="12">
        <v>13545765.890000001</v>
      </c>
      <c r="X17" s="12">
        <v>17559968.100000001</v>
      </c>
      <c r="Y17" s="12">
        <v>9798839.5800000001</v>
      </c>
      <c r="Z17" s="12">
        <v>5169540.97</v>
      </c>
      <c r="AA17" s="12">
        <v>23989673.41</v>
      </c>
      <c r="AB17" s="12">
        <v>3407705.04</v>
      </c>
      <c r="AC17" s="12">
        <v>20310929.960000001</v>
      </c>
      <c r="AD17" s="12">
        <v>5443967.3600000003</v>
      </c>
      <c r="AE17" s="12">
        <v>11007143.699999999</v>
      </c>
      <c r="AF17" s="12">
        <v>7233982.5499999998</v>
      </c>
      <c r="AG17" s="12">
        <v>14748960.720000001</v>
      </c>
      <c r="AH17" s="12">
        <v>25642521.57</v>
      </c>
      <c r="AI17" s="12">
        <v>10163577.52</v>
      </c>
      <c r="AJ17" s="12">
        <v>11697815.789999999</v>
      </c>
      <c r="AK17" s="12">
        <v>11775515.460000001</v>
      </c>
      <c r="AL17" s="12">
        <v>10981793.93</v>
      </c>
      <c r="AM17" s="12">
        <v>11199801.23</v>
      </c>
      <c r="AN17" s="12">
        <v>4708620.3</v>
      </c>
      <c r="AO17" s="12">
        <v>18147645.199999999</v>
      </c>
      <c r="AP17" s="12">
        <v>9594210.5099999998</v>
      </c>
      <c r="AQ17" s="12">
        <v>10388733.609999999</v>
      </c>
      <c r="AR17" s="12">
        <v>5390470.9299999997</v>
      </c>
      <c r="AS17" s="12">
        <v>3567498.97</v>
      </c>
      <c r="AT17" s="12">
        <v>3679370.85</v>
      </c>
      <c r="AU17" s="12">
        <v>7362387.3499999996</v>
      </c>
      <c r="AV17" s="12">
        <v>7851489.3799999999</v>
      </c>
      <c r="AW17" s="12">
        <v>9859074.6799999997</v>
      </c>
      <c r="AX17" s="12">
        <v>11385112.52</v>
      </c>
      <c r="AY17" s="12">
        <v>14033198.01</v>
      </c>
      <c r="AZ17" s="12">
        <v>8081060.0999999996</v>
      </c>
      <c r="BA17" s="12">
        <v>55789281.310000002</v>
      </c>
      <c r="BB17" s="12">
        <v>21260024.34</v>
      </c>
      <c r="BC17" s="12">
        <v>5773381.8499999996</v>
      </c>
      <c r="BD17" s="12">
        <v>7735436.2599999998</v>
      </c>
      <c r="BE17" s="12">
        <v>10529645.810000001</v>
      </c>
      <c r="BF17" s="12">
        <v>16205992.949999999</v>
      </c>
      <c r="BG17" s="12">
        <v>3572469.5</v>
      </c>
      <c r="BH17" s="12">
        <v>3176648.18</v>
      </c>
      <c r="BI17" s="12">
        <v>9667982.3399999999</v>
      </c>
      <c r="BJ17" s="12">
        <v>2631726.4900000002</v>
      </c>
      <c r="BK17" s="12">
        <v>11348378.619999999</v>
      </c>
      <c r="BL17" s="12">
        <v>3767755.01</v>
      </c>
      <c r="BM17" s="12">
        <v>7750808.2400000002</v>
      </c>
      <c r="BN17" s="12">
        <v>22231580.66</v>
      </c>
      <c r="BO17" s="12">
        <v>9563012.7300000004</v>
      </c>
      <c r="BP17" s="12">
        <v>16115562.689999999</v>
      </c>
      <c r="BQ17" s="12">
        <v>26620649.390000001</v>
      </c>
      <c r="BR17" s="12">
        <v>21741614.84</v>
      </c>
      <c r="BS17" s="12">
        <v>8196865.8499999996</v>
      </c>
      <c r="BT17" s="12">
        <v>48487107.729999997</v>
      </c>
      <c r="BU17" s="12">
        <v>10119266.84</v>
      </c>
      <c r="BV17" s="12">
        <v>10867237.24</v>
      </c>
      <c r="BW17" s="12">
        <v>4180069.17</v>
      </c>
      <c r="BX17" s="12">
        <v>8314949.1100000003</v>
      </c>
      <c r="BY17" s="12">
        <v>35501209.890000001</v>
      </c>
      <c r="BZ17" s="12">
        <v>5087705.8499999996</v>
      </c>
      <c r="CA17" s="12">
        <v>9667588.4000000004</v>
      </c>
      <c r="CB17" s="12">
        <v>18346807.819999997</v>
      </c>
      <c r="CC17" s="38"/>
      <c r="CD17" s="38" t="s">
        <v>136</v>
      </c>
    </row>
    <row r="18" spans="1:82" x14ac:dyDescent="0.2">
      <c r="A18" s="38"/>
      <c r="B18" s="30" t="s">
        <v>134</v>
      </c>
      <c r="C18" s="5">
        <f t="shared" ref="C18:C20" si="0">SUM(D18:CB18)</f>
        <v>1404200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>
        <v>1404200</v>
      </c>
      <c r="BT18" s="12"/>
      <c r="BU18" s="12"/>
      <c r="BV18" s="12"/>
      <c r="BW18" s="12"/>
      <c r="BX18" s="12"/>
      <c r="BY18" s="12"/>
      <c r="BZ18" s="12"/>
      <c r="CA18" s="12"/>
      <c r="CB18" s="12"/>
      <c r="CC18" s="38"/>
      <c r="CD18" s="38" t="s">
        <v>136</v>
      </c>
    </row>
    <row r="19" spans="1:82" x14ac:dyDescent="0.2">
      <c r="A19" s="38"/>
      <c r="B19" s="30" t="s">
        <v>135</v>
      </c>
      <c r="C19" s="5">
        <f t="shared" si="0"/>
        <v>6030077.4899999993</v>
      </c>
      <c r="D19" s="12"/>
      <c r="E19" s="12"/>
      <c r="F19" s="12">
        <v>52962.28</v>
      </c>
      <c r="G19" s="12">
        <v>39974.15</v>
      </c>
      <c r="H19" s="12"/>
      <c r="I19" s="12">
        <v>250811</v>
      </c>
      <c r="J19" s="12">
        <v>56891.95</v>
      </c>
      <c r="K19" s="12">
        <v>79734.850000000006</v>
      </c>
      <c r="L19" s="12">
        <v>24243.3</v>
      </c>
      <c r="M19" s="12">
        <v>42550.9</v>
      </c>
      <c r="N19" s="12"/>
      <c r="O19" s="12">
        <v>215337.15</v>
      </c>
      <c r="P19" s="12">
        <v>265927</v>
      </c>
      <c r="Q19" s="12">
        <v>108409.95</v>
      </c>
      <c r="R19" s="12">
        <v>86812</v>
      </c>
      <c r="S19" s="12"/>
      <c r="T19" s="12"/>
      <c r="U19" s="12"/>
      <c r="V19" s="12"/>
      <c r="W19" s="12">
        <v>179729.85</v>
      </c>
      <c r="X19" s="12">
        <v>271651.5</v>
      </c>
      <c r="Y19" s="12"/>
      <c r="Z19" s="12"/>
      <c r="AA19" s="12"/>
      <c r="AB19" s="12"/>
      <c r="AC19" s="12"/>
      <c r="AD19" s="12">
        <v>19921.25</v>
      </c>
      <c r="AE19" s="12">
        <v>130054.45</v>
      </c>
      <c r="AF19" s="12">
        <v>133282.71</v>
      </c>
      <c r="AG19" s="12">
        <v>84549.79</v>
      </c>
      <c r="AH19" s="12">
        <v>176356.35</v>
      </c>
      <c r="AI19" s="12">
        <v>150933.25</v>
      </c>
      <c r="AJ19" s="12">
        <v>116985.69</v>
      </c>
      <c r="AK19" s="12">
        <v>105519.8</v>
      </c>
      <c r="AL19" s="12">
        <v>113342.7</v>
      </c>
      <c r="AM19" s="12">
        <v>113603.3</v>
      </c>
      <c r="AN19" s="12">
        <v>42465.05</v>
      </c>
      <c r="AO19" s="12">
        <v>145185.60000000001</v>
      </c>
      <c r="AP19" s="12">
        <v>120945.60000000001</v>
      </c>
      <c r="AQ19" s="12">
        <v>157301.45000000001</v>
      </c>
      <c r="AR19" s="12">
        <v>115720.9</v>
      </c>
      <c r="AS19" s="12"/>
      <c r="AT19" s="12"/>
      <c r="AU19" s="12">
        <v>133116.54</v>
      </c>
      <c r="AV19" s="12">
        <v>13925.2</v>
      </c>
      <c r="AW19" s="12">
        <v>7779.63</v>
      </c>
      <c r="AX19" s="12">
        <v>146671.4</v>
      </c>
      <c r="AY19" s="12">
        <v>0</v>
      </c>
      <c r="AZ19" s="12">
        <v>0</v>
      </c>
      <c r="BA19" s="12">
        <v>101910.29</v>
      </c>
      <c r="BB19" s="12">
        <v>42562.35</v>
      </c>
      <c r="BC19" s="12">
        <v>46956.4</v>
      </c>
      <c r="BD19" s="12">
        <v>21051.77</v>
      </c>
      <c r="BE19" s="12">
        <v>139138.65</v>
      </c>
      <c r="BF19" s="12"/>
      <c r="BG19" s="12">
        <v>70068.75</v>
      </c>
      <c r="BH19" s="12"/>
      <c r="BI19" s="12"/>
      <c r="BJ19" s="12"/>
      <c r="BK19" s="12">
        <v>101525.35</v>
      </c>
      <c r="BL19" s="12"/>
      <c r="BM19" s="12">
        <v>130697.15</v>
      </c>
      <c r="BN19" s="12">
        <v>182430.95</v>
      </c>
      <c r="BO19" s="12">
        <v>168946.9</v>
      </c>
      <c r="BP19" s="12">
        <v>77249.55</v>
      </c>
      <c r="BQ19" s="12">
        <v>49448.55</v>
      </c>
      <c r="BR19" s="12">
        <v>267395.05</v>
      </c>
      <c r="BS19" s="12">
        <v>89987.73</v>
      </c>
      <c r="BT19" s="12">
        <v>70041.3</v>
      </c>
      <c r="BU19" s="12">
        <v>108078.16</v>
      </c>
      <c r="BV19" s="12"/>
      <c r="BW19" s="12"/>
      <c r="BX19" s="12">
        <v>23064.799999999999</v>
      </c>
      <c r="BY19" s="12">
        <v>267174.8</v>
      </c>
      <c r="BZ19" s="12"/>
      <c r="CA19" s="12">
        <v>138695.6</v>
      </c>
      <c r="CB19" s="12">
        <v>230956.85</v>
      </c>
      <c r="CC19" s="38"/>
      <c r="CD19" s="38" t="s">
        <v>136</v>
      </c>
    </row>
    <row r="20" spans="1:82" x14ac:dyDescent="0.2">
      <c r="A20" s="38"/>
      <c r="B20" s="30" t="s">
        <v>211</v>
      </c>
      <c r="C20" s="5">
        <f t="shared" si="0"/>
        <v>3059273.0900000003</v>
      </c>
      <c r="D20" s="12">
        <v>901585</v>
      </c>
      <c r="E20" s="12"/>
      <c r="F20" s="12">
        <v>6148.45</v>
      </c>
      <c r="G20" s="12">
        <v>4676.7</v>
      </c>
      <c r="H20" s="12"/>
      <c r="I20" s="12">
        <v>66092</v>
      </c>
      <c r="J20" s="12">
        <v>11337.45</v>
      </c>
      <c r="K20" s="12">
        <v>3075.5</v>
      </c>
      <c r="L20" s="12">
        <v>11211.05</v>
      </c>
      <c r="M20" s="12">
        <v>8787.85</v>
      </c>
      <c r="N20" s="12"/>
      <c r="O20" s="12">
        <v>30859.85</v>
      </c>
      <c r="P20" s="12">
        <v>40928.400000000001</v>
      </c>
      <c r="Q20" s="12">
        <v>44062.2</v>
      </c>
      <c r="R20" s="12">
        <v>18136.349999999999</v>
      </c>
      <c r="S20" s="12"/>
      <c r="T20" s="12"/>
      <c r="U20" s="12"/>
      <c r="V20" s="12"/>
      <c r="W20" s="12">
        <v>38581.25</v>
      </c>
      <c r="X20" s="12">
        <v>45967.76</v>
      </c>
      <c r="Y20" s="12"/>
      <c r="Z20" s="12"/>
      <c r="AA20" s="12"/>
      <c r="AB20" s="12"/>
      <c r="AC20" s="12"/>
      <c r="AD20" s="12">
        <v>8067.94</v>
      </c>
      <c r="AE20" s="12">
        <v>34208.550000000003</v>
      </c>
      <c r="AF20" s="12">
        <v>30145.95</v>
      </c>
      <c r="AG20" s="12">
        <v>47786.25</v>
      </c>
      <c r="AH20" s="12">
        <v>95884.7</v>
      </c>
      <c r="AI20" s="12">
        <v>26151.8</v>
      </c>
      <c r="AJ20" s="12">
        <v>44511.7</v>
      </c>
      <c r="AK20" s="12">
        <v>39596.800000000003</v>
      </c>
      <c r="AL20" s="12">
        <v>31019.8</v>
      </c>
      <c r="AM20" s="12">
        <v>37350.400000000001</v>
      </c>
      <c r="AN20" s="12">
        <v>8872.35</v>
      </c>
      <c r="AO20" s="12">
        <v>39042.9</v>
      </c>
      <c r="AP20" s="12">
        <v>26835.05</v>
      </c>
      <c r="AQ20" s="12">
        <v>32719.1</v>
      </c>
      <c r="AR20" s="12">
        <v>9906.7000000000007</v>
      </c>
      <c r="AS20" s="12"/>
      <c r="AT20" s="12"/>
      <c r="AU20" s="12">
        <v>29361.35</v>
      </c>
      <c r="AV20" s="12">
        <v>16275.05</v>
      </c>
      <c r="AW20" s="12">
        <v>34798.65</v>
      </c>
      <c r="AX20" s="12">
        <v>22651.05</v>
      </c>
      <c r="AY20" s="12">
        <v>42320.3</v>
      </c>
      <c r="AZ20" s="12">
        <v>30719.35</v>
      </c>
      <c r="BA20" s="12">
        <v>202782.81</v>
      </c>
      <c r="BB20" s="12">
        <v>68513.960000000006</v>
      </c>
      <c r="BC20" s="12">
        <v>11421.2</v>
      </c>
      <c r="BD20" s="12">
        <v>12834.52</v>
      </c>
      <c r="BE20" s="12">
        <v>40467.75</v>
      </c>
      <c r="BF20" s="12"/>
      <c r="BG20" s="12">
        <v>6357</v>
      </c>
      <c r="BH20" s="12"/>
      <c r="BI20" s="12"/>
      <c r="BJ20" s="12"/>
      <c r="BK20" s="12">
        <v>17413.849999999999</v>
      </c>
      <c r="BL20" s="12"/>
      <c r="BM20" s="12">
        <v>26187.15</v>
      </c>
      <c r="BN20" s="12">
        <v>74097.8</v>
      </c>
      <c r="BO20" s="12">
        <v>26580.35</v>
      </c>
      <c r="BP20" s="12">
        <v>16189.3</v>
      </c>
      <c r="BQ20" s="12">
        <v>47068.31</v>
      </c>
      <c r="BR20" s="12">
        <v>48088.7</v>
      </c>
      <c r="BS20" s="12">
        <v>16190</v>
      </c>
      <c r="BT20" s="12">
        <v>313669.09999999998</v>
      </c>
      <c r="BU20" s="12">
        <v>21024.7</v>
      </c>
      <c r="BV20" s="12"/>
      <c r="BW20" s="12"/>
      <c r="BX20" s="12">
        <v>16464.650000000001</v>
      </c>
      <c r="BY20" s="12">
        <v>99760.39</v>
      </c>
      <c r="BZ20" s="12"/>
      <c r="CA20" s="12">
        <v>19265.7</v>
      </c>
      <c r="CB20" s="12">
        <v>55220.3</v>
      </c>
      <c r="CC20" s="38"/>
      <c r="CD20" s="38" t="s">
        <v>136</v>
      </c>
    </row>
    <row r="21" spans="1:82" x14ac:dyDescent="0.2">
      <c r="A21" s="38"/>
      <c r="B21" s="30" t="s">
        <v>82</v>
      </c>
      <c r="C21" s="5">
        <f>SUM(C17:C20)</f>
        <v>1051438612.7700003</v>
      </c>
      <c r="D21" s="5">
        <f t="shared" ref="D21:BO21" si="1">SUM(D17:D20)</f>
        <v>134496991.19</v>
      </c>
      <c r="E21" s="5">
        <f t="shared" si="1"/>
        <v>20089213.969999999</v>
      </c>
      <c r="F21" s="5">
        <f t="shared" si="1"/>
        <v>3253709.77</v>
      </c>
      <c r="G21" s="5">
        <f t="shared" si="1"/>
        <v>3052670.8200000003</v>
      </c>
      <c r="H21" s="5">
        <f t="shared" si="1"/>
        <v>8720033.6999999993</v>
      </c>
      <c r="I21" s="5">
        <f t="shared" si="1"/>
        <v>17771745</v>
      </c>
      <c r="J21" s="5">
        <f t="shared" si="1"/>
        <v>6834032.6000000006</v>
      </c>
      <c r="K21" s="5">
        <f t="shared" si="1"/>
        <v>2169548.71</v>
      </c>
      <c r="L21" s="5">
        <f t="shared" si="1"/>
        <v>3003844.5999999996</v>
      </c>
      <c r="M21" s="5">
        <f t="shared" si="1"/>
        <v>2561536.36</v>
      </c>
      <c r="N21" s="5">
        <f t="shared" si="1"/>
        <v>5332260.13</v>
      </c>
      <c r="O21" s="5">
        <f t="shared" si="1"/>
        <v>13160925.66</v>
      </c>
      <c r="P21" s="5">
        <f t="shared" si="1"/>
        <v>18225421.049999997</v>
      </c>
      <c r="Q21" s="5">
        <f t="shared" si="1"/>
        <v>12863859.359999999</v>
      </c>
      <c r="R21" s="5">
        <f t="shared" si="1"/>
        <v>6273922.54</v>
      </c>
      <c r="S21" s="5">
        <f t="shared" si="1"/>
        <v>11342484.359999999</v>
      </c>
      <c r="T21" s="5">
        <f t="shared" si="1"/>
        <v>15127746.76</v>
      </c>
      <c r="U21" s="5">
        <f t="shared" si="1"/>
        <v>8404897.5</v>
      </c>
      <c r="V21" s="5">
        <f t="shared" si="1"/>
        <v>8653639.1400000006</v>
      </c>
      <c r="W21" s="5">
        <f t="shared" si="1"/>
        <v>13764076.99</v>
      </c>
      <c r="X21" s="5">
        <f t="shared" si="1"/>
        <v>17877587.360000003</v>
      </c>
      <c r="Y21" s="5">
        <f t="shared" si="1"/>
        <v>9798839.5800000001</v>
      </c>
      <c r="Z21" s="5">
        <f t="shared" si="1"/>
        <v>5169540.97</v>
      </c>
      <c r="AA21" s="5">
        <f t="shared" si="1"/>
        <v>23989673.41</v>
      </c>
      <c r="AB21" s="5">
        <f t="shared" si="1"/>
        <v>3407705.04</v>
      </c>
      <c r="AC21" s="5">
        <f t="shared" si="1"/>
        <v>20310929.960000001</v>
      </c>
      <c r="AD21" s="5">
        <f t="shared" si="1"/>
        <v>5471956.5500000007</v>
      </c>
      <c r="AE21" s="5">
        <f t="shared" si="1"/>
        <v>11171406.699999999</v>
      </c>
      <c r="AF21" s="5">
        <f t="shared" si="1"/>
        <v>7397411.21</v>
      </c>
      <c r="AG21" s="5">
        <f t="shared" si="1"/>
        <v>14881296.76</v>
      </c>
      <c r="AH21" s="5">
        <f t="shared" si="1"/>
        <v>25914762.620000001</v>
      </c>
      <c r="AI21" s="5">
        <f t="shared" si="1"/>
        <v>10340662.57</v>
      </c>
      <c r="AJ21" s="5">
        <f t="shared" si="1"/>
        <v>11859313.179999998</v>
      </c>
      <c r="AK21" s="5">
        <f t="shared" si="1"/>
        <v>11920632.060000002</v>
      </c>
      <c r="AL21" s="5">
        <f t="shared" si="1"/>
        <v>11126156.43</v>
      </c>
      <c r="AM21" s="5">
        <f t="shared" si="1"/>
        <v>11350754.930000002</v>
      </c>
      <c r="AN21" s="5">
        <f t="shared" si="1"/>
        <v>4759957.6999999993</v>
      </c>
      <c r="AO21" s="5">
        <f t="shared" si="1"/>
        <v>18331873.699999999</v>
      </c>
      <c r="AP21" s="5">
        <f t="shared" si="1"/>
        <v>9741991.1600000001</v>
      </c>
      <c r="AQ21" s="5">
        <f t="shared" si="1"/>
        <v>10578754.159999998</v>
      </c>
      <c r="AR21" s="5">
        <f t="shared" si="1"/>
        <v>5516098.5300000003</v>
      </c>
      <c r="AS21" s="5">
        <f t="shared" si="1"/>
        <v>3567498.97</v>
      </c>
      <c r="AT21" s="5">
        <f t="shared" si="1"/>
        <v>3679370.85</v>
      </c>
      <c r="AU21" s="5">
        <f t="shared" si="1"/>
        <v>7524865.2399999993</v>
      </c>
      <c r="AV21" s="5">
        <f t="shared" si="1"/>
        <v>7881689.6299999999</v>
      </c>
      <c r="AW21" s="5">
        <f t="shared" si="1"/>
        <v>9901652.9600000009</v>
      </c>
      <c r="AX21" s="5">
        <f t="shared" si="1"/>
        <v>11554434.970000001</v>
      </c>
      <c r="AY21" s="5">
        <f t="shared" si="1"/>
        <v>14075518.310000001</v>
      </c>
      <c r="AZ21" s="5">
        <f t="shared" si="1"/>
        <v>8111779.4499999993</v>
      </c>
      <c r="BA21" s="5">
        <f t="shared" si="1"/>
        <v>56093974.410000004</v>
      </c>
      <c r="BB21" s="5">
        <f t="shared" si="1"/>
        <v>21371100.650000002</v>
      </c>
      <c r="BC21" s="5">
        <f t="shared" si="1"/>
        <v>5831759.4500000002</v>
      </c>
      <c r="BD21" s="5">
        <f t="shared" si="1"/>
        <v>7769322.5499999989</v>
      </c>
      <c r="BE21" s="5">
        <f t="shared" si="1"/>
        <v>10709252.210000001</v>
      </c>
      <c r="BF21" s="5">
        <f t="shared" si="1"/>
        <v>16205992.949999999</v>
      </c>
      <c r="BG21" s="5">
        <f t="shared" si="1"/>
        <v>3648895.25</v>
      </c>
      <c r="BH21" s="5">
        <f t="shared" si="1"/>
        <v>3176648.18</v>
      </c>
      <c r="BI21" s="5">
        <f t="shared" si="1"/>
        <v>9667982.3399999999</v>
      </c>
      <c r="BJ21" s="5">
        <f t="shared" si="1"/>
        <v>2631726.4900000002</v>
      </c>
      <c r="BK21" s="5">
        <f t="shared" si="1"/>
        <v>11467317.819999998</v>
      </c>
      <c r="BL21" s="5">
        <f t="shared" si="1"/>
        <v>3767755.01</v>
      </c>
      <c r="BM21" s="5">
        <f t="shared" si="1"/>
        <v>7907692.540000001</v>
      </c>
      <c r="BN21" s="5">
        <f t="shared" si="1"/>
        <v>22488109.41</v>
      </c>
      <c r="BO21" s="5">
        <f t="shared" si="1"/>
        <v>9758539.9800000004</v>
      </c>
      <c r="BP21" s="5">
        <f t="shared" ref="BP21:CB21" si="2">SUM(BP17:BP20)</f>
        <v>16209001.540000001</v>
      </c>
      <c r="BQ21" s="5">
        <f t="shared" si="2"/>
        <v>26717166.25</v>
      </c>
      <c r="BR21" s="5">
        <f t="shared" si="2"/>
        <v>22057098.59</v>
      </c>
      <c r="BS21" s="5">
        <f t="shared" si="2"/>
        <v>9707243.5800000001</v>
      </c>
      <c r="BT21" s="5">
        <f t="shared" si="2"/>
        <v>48870818.129999995</v>
      </c>
      <c r="BU21" s="5">
        <f t="shared" si="2"/>
        <v>10248369.699999999</v>
      </c>
      <c r="BV21" s="5">
        <f t="shared" si="2"/>
        <v>10867237.24</v>
      </c>
      <c r="BW21" s="5">
        <f t="shared" si="2"/>
        <v>4180069.17</v>
      </c>
      <c r="BX21" s="5">
        <f t="shared" si="2"/>
        <v>8354478.5600000005</v>
      </c>
      <c r="BY21" s="5">
        <f t="shared" si="2"/>
        <v>35868145.079999998</v>
      </c>
      <c r="BZ21" s="5">
        <f t="shared" si="2"/>
        <v>5087705.8499999996</v>
      </c>
      <c r="CA21" s="5">
        <f t="shared" si="2"/>
        <v>9825549.6999999993</v>
      </c>
      <c r="CB21" s="5">
        <f t="shared" si="2"/>
        <v>18632984.969999999</v>
      </c>
      <c r="CC21" s="38"/>
      <c r="CD21" s="38"/>
    </row>
    <row r="22" spans="1:82" x14ac:dyDescent="0.2">
      <c r="A22" s="38"/>
      <c r="B22" s="3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38"/>
      <c r="CD22" s="38"/>
    </row>
    <row r="23" spans="1:82" x14ac:dyDescent="0.2">
      <c r="A23" s="38"/>
      <c r="B23" s="30" t="s">
        <v>151</v>
      </c>
      <c r="C23" s="5">
        <f>C21/C14</f>
        <v>18641.537024094469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38"/>
      <c r="CD23" s="38"/>
    </row>
    <row r="24" spans="1:82" x14ac:dyDescent="0.2">
      <c r="A24" s="38"/>
      <c r="B24" s="3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38"/>
      <c r="CD24" s="38"/>
    </row>
    <row r="25" spans="1:82" x14ac:dyDescent="0.2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2" s="57" customFormat="1" ht="15.75" x14ac:dyDescent="0.25">
      <c r="A26" s="22" t="s">
        <v>103</v>
      </c>
      <c r="B26" s="22" t="s">
        <v>139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22"/>
      <c r="CD26" s="22"/>
    </row>
    <row r="27" spans="1:82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2" s="32" customFormat="1" x14ac:dyDescent="0.2">
      <c r="A28" s="63" t="s">
        <v>145</v>
      </c>
      <c r="B28" s="61" t="s">
        <v>144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1"/>
      <c r="CD28" s="61"/>
    </row>
    <row r="29" spans="1:82" x14ac:dyDescent="0.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82" x14ac:dyDescent="0.2">
      <c r="B30" s="3" t="s">
        <v>147</v>
      </c>
      <c r="C30" s="10">
        <v>0.65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2" x14ac:dyDescent="0.2">
      <c r="B31" s="38" t="s">
        <v>148</v>
      </c>
      <c r="C31" s="10">
        <v>0.2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</row>
    <row r="32" spans="1:82" x14ac:dyDescent="0.2">
      <c r="B32" s="38" t="s">
        <v>149</v>
      </c>
      <c r="C32" s="64">
        <f t="shared" ref="C32:AH32" si="3">C14/C12</f>
        <v>0.11043517760713013</v>
      </c>
      <c r="D32" s="64">
        <f t="shared" si="3"/>
        <v>9.1536338546458137E-2</v>
      </c>
      <c r="E32" s="64">
        <f t="shared" si="3"/>
        <v>0.1125077271790645</v>
      </c>
      <c r="F32" s="64">
        <f t="shared" si="3"/>
        <v>0.13453237410071942</v>
      </c>
      <c r="G32" s="64">
        <f t="shared" si="3"/>
        <v>0.12622950819672132</v>
      </c>
      <c r="H32" s="64">
        <f t="shared" si="3"/>
        <v>0.11563696008747949</v>
      </c>
      <c r="I32" s="64">
        <f t="shared" si="3"/>
        <v>0.10374579124579125</v>
      </c>
      <c r="J32" s="64">
        <f t="shared" si="3"/>
        <v>0.1061529933481153</v>
      </c>
      <c r="K32" s="64">
        <f t="shared" si="3"/>
        <v>0.11515863689776733</v>
      </c>
      <c r="L32" s="64">
        <f t="shared" si="3"/>
        <v>0.13630041724617525</v>
      </c>
      <c r="M32" s="64">
        <f t="shared" si="3"/>
        <v>0.1367112810707457</v>
      </c>
      <c r="N32" s="64">
        <f t="shared" si="3"/>
        <v>0.12825994014536127</v>
      </c>
      <c r="O32" s="64">
        <f t="shared" si="3"/>
        <v>9.4554321322134927E-2</v>
      </c>
      <c r="P32" s="64">
        <f t="shared" si="3"/>
        <v>9.8219961856325491E-2</v>
      </c>
      <c r="Q32" s="64">
        <f t="shared" si="3"/>
        <v>0.10403655750190403</v>
      </c>
      <c r="R32" s="64">
        <f t="shared" si="3"/>
        <v>8.9758681577398469E-2</v>
      </c>
      <c r="S32" s="64">
        <f t="shared" si="3"/>
        <v>0.10906040268456375</v>
      </c>
      <c r="T32" s="64">
        <f t="shared" si="3"/>
        <v>0.10206172365219618</v>
      </c>
      <c r="U32" s="64">
        <f t="shared" si="3"/>
        <v>0.11458333333333333</v>
      </c>
      <c r="V32" s="64">
        <f t="shared" si="3"/>
        <v>0.10386424044162748</v>
      </c>
      <c r="W32" s="64">
        <f t="shared" si="3"/>
        <v>0.12049497293116783</v>
      </c>
      <c r="X32" s="64">
        <f t="shared" si="3"/>
        <v>0.11182861828618286</v>
      </c>
      <c r="Y32" s="64">
        <f t="shared" si="3"/>
        <v>0.10434590778733731</v>
      </c>
      <c r="Z32" s="64">
        <f t="shared" si="3"/>
        <v>0.12274881516587678</v>
      </c>
      <c r="AA32" s="64">
        <f t="shared" si="3"/>
        <v>0.1096236423339227</v>
      </c>
      <c r="AB32" s="64">
        <f t="shared" si="3"/>
        <v>0.12763157894736843</v>
      </c>
      <c r="AC32" s="64">
        <f t="shared" si="3"/>
        <v>0.12161710658202472</v>
      </c>
      <c r="AD32" s="64">
        <f t="shared" si="3"/>
        <v>0.12728026533996684</v>
      </c>
      <c r="AE32" s="64">
        <f t="shared" si="3"/>
        <v>0.10520741394527802</v>
      </c>
      <c r="AF32" s="64">
        <f t="shared" si="3"/>
        <v>0.11605633802816902</v>
      </c>
      <c r="AG32" s="64">
        <f t="shared" si="3"/>
        <v>0.12438785504407443</v>
      </c>
      <c r="AH32" s="64">
        <f t="shared" si="3"/>
        <v>0.10652359847601275</v>
      </c>
      <c r="AI32" s="64">
        <f t="shared" ref="AI32:BN32" si="4">AI14/AI12</f>
        <v>0.11639280125195618</v>
      </c>
      <c r="AJ32" s="64">
        <f t="shared" si="4"/>
        <v>0.12577903682719546</v>
      </c>
      <c r="AK32" s="64">
        <f t="shared" si="4"/>
        <v>0.11032258064516129</v>
      </c>
      <c r="AL32" s="64">
        <f t="shared" si="4"/>
        <v>0.12141687141687142</v>
      </c>
      <c r="AM32" s="64">
        <f t="shared" si="4"/>
        <v>9.8180076628352486E-2</v>
      </c>
      <c r="AN32" s="64">
        <f t="shared" si="4"/>
        <v>0.11953727506426735</v>
      </c>
      <c r="AO32" s="64">
        <f t="shared" si="4"/>
        <v>0.12521901647003855</v>
      </c>
      <c r="AP32" s="64">
        <f t="shared" si="4"/>
        <v>0.11208836162814481</v>
      </c>
      <c r="AQ32" s="64">
        <f t="shared" si="4"/>
        <v>0.11866783523225241</v>
      </c>
      <c r="AR32" s="64">
        <f t="shared" si="4"/>
        <v>9.9694811800610378E-2</v>
      </c>
      <c r="AS32" s="64">
        <f t="shared" si="4"/>
        <v>0.10148107515085025</v>
      </c>
      <c r="AT32" s="64">
        <f t="shared" si="4"/>
        <v>9.7262667443214906E-2</v>
      </c>
      <c r="AU32" s="64">
        <f t="shared" si="4"/>
        <v>0.12435500515995872</v>
      </c>
      <c r="AV32" s="64">
        <f t="shared" si="4"/>
        <v>0.13916834339369549</v>
      </c>
      <c r="AW32" s="64">
        <f t="shared" si="4"/>
        <v>0.12083671811535338</v>
      </c>
      <c r="AX32" s="64">
        <f t="shared" si="4"/>
        <v>0.11038712150249137</v>
      </c>
      <c r="AY32" s="64">
        <f t="shared" si="4"/>
        <v>0.12020342117429496</v>
      </c>
      <c r="AZ32" s="64">
        <f t="shared" si="4"/>
        <v>0.11205523101433883</v>
      </c>
      <c r="BA32" s="64">
        <f t="shared" si="4"/>
        <v>0.10026762473879092</v>
      </c>
      <c r="BB32" s="64">
        <f t="shared" si="4"/>
        <v>0.12145242070116861</v>
      </c>
      <c r="BC32" s="64">
        <f t="shared" si="4"/>
        <v>0.1239447429009977</v>
      </c>
      <c r="BD32" s="64">
        <f t="shared" si="4"/>
        <v>0.10719322990126939</v>
      </c>
      <c r="BE32" s="64">
        <f t="shared" si="4"/>
        <v>0.11577684463107378</v>
      </c>
      <c r="BF32" s="64">
        <f t="shared" si="4"/>
        <v>0.10820682570482822</v>
      </c>
      <c r="BG32" s="64">
        <f t="shared" si="4"/>
        <v>0.10021097046413502</v>
      </c>
      <c r="BH32" s="64">
        <f t="shared" si="4"/>
        <v>0.13589128697042366</v>
      </c>
      <c r="BI32" s="64">
        <f t="shared" si="4"/>
        <v>0.11547972304648862</v>
      </c>
      <c r="BJ32" s="64">
        <f t="shared" si="4"/>
        <v>0.16629711751662971</v>
      </c>
      <c r="BK32" s="64">
        <f t="shared" si="4"/>
        <v>0.12352115500300782</v>
      </c>
      <c r="BL32" s="64">
        <f t="shared" si="4"/>
        <v>0.13885429638854296</v>
      </c>
      <c r="BM32" s="64">
        <f t="shared" si="4"/>
        <v>0.14998243765367053</v>
      </c>
      <c r="BN32" s="64">
        <f t="shared" si="4"/>
        <v>0.13648351648351648</v>
      </c>
      <c r="BO32" s="64">
        <f t="shared" ref="BO32:CB32" si="5">BO14/BO12</f>
        <v>0.14188836724047993</v>
      </c>
      <c r="BP32" s="64">
        <f t="shared" si="5"/>
        <v>0.12025612993909104</v>
      </c>
      <c r="BQ32" s="64">
        <f t="shared" si="5"/>
        <v>0.11851626171071673</v>
      </c>
      <c r="BR32" s="64">
        <f t="shared" si="5"/>
        <v>0.11990407673860912</v>
      </c>
      <c r="BS32" s="64">
        <f t="shared" si="5"/>
        <v>0.12885222033487018</v>
      </c>
      <c r="BT32" s="64">
        <f t="shared" si="5"/>
        <v>0.10257047063206258</v>
      </c>
      <c r="BU32" s="64">
        <f t="shared" si="5"/>
        <v>0.11185308848080133</v>
      </c>
      <c r="BV32" s="64">
        <f t="shared" si="5"/>
        <v>0.11999119330691325</v>
      </c>
      <c r="BW32" s="64">
        <f t="shared" si="5"/>
        <v>0.14285714285714285</v>
      </c>
      <c r="BX32" s="64">
        <f t="shared" si="5"/>
        <v>0.1441326530612245</v>
      </c>
      <c r="BY32" s="64">
        <f t="shared" si="5"/>
        <v>0.10288270377733598</v>
      </c>
      <c r="BZ32" s="64">
        <f t="shared" si="5"/>
        <v>0.15357678839419711</v>
      </c>
      <c r="CA32" s="64">
        <f t="shared" si="5"/>
        <v>0.15114633455986415</v>
      </c>
      <c r="CB32" s="64">
        <f t="shared" si="5"/>
        <v>0.11360634081902246</v>
      </c>
    </row>
    <row r="33" spans="1:82" x14ac:dyDescent="0.2">
      <c r="A33" s="38"/>
      <c r="B33" s="30" t="s">
        <v>132</v>
      </c>
      <c r="C33" s="5"/>
      <c r="D33" s="71">
        <v>1.1000000000000001</v>
      </c>
      <c r="E33" s="71">
        <v>1.01</v>
      </c>
      <c r="F33" s="71">
        <v>0.86</v>
      </c>
      <c r="G33" s="71">
        <v>0.85</v>
      </c>
      <c r="H33" s="71">
        <v>0.82</v>
      </c>
      <c r="I33" s="71">
        <v>0.99</v>
      </c>
      <c r="J33" s="71">
        <v>0.95</v>
      </c>
      <c r="K33" s="71">
        <v>0.87</v>
      </c>
      <c r="L33" s="71">
        <v>0.82</v>
      </c>
      <c r="M33" s="71">
        <v>0.8</v>
      </c>
      <c r="N33" s="71">
        <v>0.88</v>
      </c>
      <c r="O33" s="71">
        <v>1.01</v>
      </c>
      <c r="P33" s="71">
        <v>1.2</v>
      </c>
      <c r="Q33" s="71">
        <v>0.97</v>
      </c>
      <c r="R33" s="71">
        <v>1.03</v>
      </c>
      <c r="S33" s="71">
        <v>1.0900000000000001</v>
      </c>
      <c r="T33" s="71">
        <v>1.02</v>
      </c>
      <c r="U33" s="71">
        <v>0.89</v>
      </c>
      <c r="V33" s="71">
        <v>0.92</v>
      </c>
      <c r="W33" s="71">
        <v>0.9</v>
      </c>
      <c r="X33" s="71">
        <v>0.95</v>
      </c>
      <c r="Y33" s="71">
        <v>1.03</v>
      </c>
      <c r="Z33" s="71">
        <v>0.92</v>
      </c>
      <c r="AA33" s="71">
        <v>1</v>
      </c>
      <c r="AB33" s="71">
        <v>0.89</v>
      </c>
      <c r="AC33" s="71">
        <v>0.92</v>
      </c>
      <c r="AD33" s="71">
        <v>0.95</v>
      </c>
      <c r="AE33" s="71">
        <v>0.96</v>
      </c>
      <c r="AF33" s="71">
        <v>0.91</v>
      </c>
      <c r="AG33" s="71">
        <v>0.93</v>
      </c>
      <c r="AH33" s="71">
        <v>1</v>
      </c>
      <c r="AI33" s="71">
        <v>1.03</v>
      </c>
      <c r="AJ33" s="71">
        <v>0.98</v>
      </c>
      <c r="AK33" s="71">
        <v>0.95</v>
      </c>
      <c r="AL33" s="71">
        <v>0.9</v>
      </c>
      <c r="AM33" s="71">
        <v>0.93</v>
      </c>
      <c r="AN33" s="71">
        <v>0.88</v>
      </c>
      <c r="AO33" s="71">
        <v>0.93</v>
      </c>
      <c r="AP33" s="71">
        <v>0.98</v>
      </c>
      <c r="AQ33" s="71">
        <v>0.94</v>
      </c>
      <c r="AR33" s="71">
        <v>0.91</v>
      </c>
      <c r="AS33" s="71">
        <v>0.84</v>
      </c>
      <c r="AT33" s="71">
        <v>0.9</v>
      </c>
      <c r="AU33" s="71">
        <v>0.91</v>
      </c>
      <c r="AV33" s="71">
        <v>0.91</v>
      </c>
      <c r="AW33" s="71">
        <v>0.92</v>
      </c>
      <c r="AX33" s="71">
        <v>0.91</v>
      </c>
      <c r="AY33" s="71">
        <v>1.03</v>
      </c>
      <c r="AZ33" s="71">
        <v>0.94</v>
      </c>
      <c r="BA33" s="71">
        <v>0.92</v>
      </c>
      <c r="BB33" s="71">
        <v>0.91</v>
      </c>
      <c r="BC33" s="71">
        <v>0.9</v>
      </c>
      <c r="BD33" s="71">
        <v>1.04</v>
      </c>
      <c r="BE33" s="71">
        <v>1.05</v>
      </c>
      <c r="BF33" s="71">
        <v>1.05</v>
      </c>
      <c r="BG33" s="71">
        <v>1.01</v>
      </c>
      <c r="BH33" s="71">
        <v>0.92</v>
      </c>
      <c r="BI33" s="71">
        <v>1.07</v>
      </c>
      <c r="BJ33" s="71">
        <v>0.96</v>
      </c>
      <c r="BK33" s="71">
        <v>0.98</v>
      </c>
      <c r="BL33" s="71">
        <v>0.96</v>
      </c>
      <c r="BM33" s="71">
        <v>0.92</v>
      </c>
      <c r="BN33" s="71">
        <v>0.99</v>
      </c>
      <c r="BO33" s="71">
        <v>0.86</v>
      </c>
      <c r="BP33" s="71">
        <v>0.92</v>
      </c>
      <c r="BQ33" s="71">
        <v>0.99</v>
      </c>
      <c r="BR33" s="71">
        <v>1.03</v>
      </c>
      <c r="BS33" s="71">
        <v>1.01</v>
      </c>
      <c r="BT33" s="71">
        <v>1.07</v>
      </c>
      <c r="BU33" s="71">
        <v>0.86</v>
      </c>
      <c r="BV33" s="71">
        <v>0.87</v>
      </c>
      <c r="BW33" s="71">
        <v>0.83</v>
      </c>
      <c r="BX33" s="71">
        <v>0.84</v>
      </c>
      <c r="BY33" s="71">
        <v>0.97</v>
      </c>
      <c r="BZ33" s="71">
        <v>0.86</v>
      </c>
      <c r="CA33" s="71">
        <v>0.84</v>
      </c>
      <c r="CB33" s="71">
        <v>0.92</v>
      </c>
      <c r="CC33" s="38"/>
      <c r="CD33" s="38" t="s">
        <v>138</v>
      </c>
    </row>
    <row r="34" spans="1:82" x14ac:dyDescent="0.2">
      <c r="B34" s="38" t="s">
        <v>150</v>
      </c>
      <c r="C34" s="5"/>
      <c r="D34" s="5">
        <f>1+(D33-1)*0.15</f>
        <v>1.0150000000000001</v>
      </c>
      <c r="E34" s="5">
        <f t="shared" ref="E34:BP34" si="6">1+(E33-1)*0.15</f>
        <v>1.0015000000000001</v>
      </c>
      <c r="F34" s="5">
        <f t="shared" si="6"/>
        <v>0.97899999999999998</v>
      </c>
      <c r="G34" s="5">
        <f t="shared" si="6"/>
        <v>0.97750000000000004</v>
      </c>
      <c r="H34" s="5">
        <f t="shared" si="6"/>
        <v>0.97299999999999998</v>
      </c>
      <c r="I34" s="5">
        <f t="shared" si="6"/>
        <v>0.99849999999999994</v>
      </c>
      <c r="J34" s="5">
        <f t="shared" si="6"/>
        <v>0.99249999999999994</v>
      </c>
      <c r="K34" s="5">
        <f t="shared" si="6"/>
        <v>0.98050000000000004</v>
      </c>
      <c r="L34" s="5">
        <f t="shared" si="6"/>
        <v>0.97299999999999998</v>
      </c>
      <c r="M34" s="5">
        <f t="shared" si="6"/>
        <v>0.97</v>
      </c>
      <c r="N34" s="5">
        <f t="shared" si="6"/>
        <v>0.98199999999999998</v>
      </c>
      <c r="O34" s="5">
        <f t="shared" si="6"/>
        <v>1.0015000000000001</v>
      </c>
      <c r="P34" s="5">
        <f t="shared" si="6"/>
        <v>1.03</v>
      </c>
      <c r="Q34" s="5">
        <f t="shared" si="6"/>
        <v>0.99550000000000005</v>
      </c>
      <c r="R34" s="5">
        <f t="shared" si="6"/>
        <v>1.0044999999999999</v>
      </c>
      <c r="S34" s="5">
        <f t="shared" si="6"/>
        <v>1.0135000000000001</v>
      </c>
      <c r="T34" s="5">
        <f t="shared" si="6"/>
        <v>1.0030000000000001</v>
      </c>
      <c r="U34" s="5">
        <f t="shared" si="6"/>
        <v>0.98350000000000004</v>
      </c>
      <c r="V34" s="5">
        <f t="shared" si="6"/>
        <v>0.98799999999999999</v>
      </c>
      <c r="W34" s="5">
        <f t="shared" si="6"/>
        <v>0.98499999999999999</v>
      </c>
      <c r="X34" s="5">
        <f t="shared" si="6"/>
        <v>0.99249999999999994</v>
      </c>
      <c r="Y34" s="5">
        <f t="shared" si="6"/>
        <v>1.0044999999999999</v>
      </c>
      <c r="Z34" s="5">
        <f t="shared" si="6"/>
        <v>0.98799999999999999</v>
      </c>
      <c r="AA34" s="5">
        <f t="shared" si="6"/>
        <v>1</v>
      </c>
      <c r="AB34" s="5">
        <f t="shared" si="6"/>
        <v>0.98350000000000004</v>
      </c>
      <c r="AC34" s="5">
        <f t="shared" si="6"/>
        <v>0.98799999999999999</v>
      </c>
      <c r="AD34" s="5">
        <f t="shared" si="6"/>
        <v>0.99249999999999994</v>
      </c>
      <c r="AE34" s="5">
        <f t="shared" si="6"/>
        <v>0.99399999999999999</v>
      </c>
      <c r="AF34" s="5">
        <f t="shared" si="6"/>
        <v>0.98650000000000004</v>
      </c>
      <c r="AG34" s="5">
        <f t="shared" si="6"/>
        <v>0.98950000000000005</v>
      </c>
      <c r="AH34" s="5">
        <f t="shared" si="6"/>
        <v>1</v>
      </c>
      <c r="AI34" s="5">
        <f t="shared" si="6"/>
        <v>1.0044999999999999</v>
      </c>
      <c r="AJ34" s="5">
        <f t="shared" si="6"/>
        <v>0.997</v>
      </c>
      <c r="AK34" s="5">
        <f t="shared" si="6"/>
        <v>0.99249999999999994</v>
      </c>
      <c r="AL34" s="5">
        <f t="shared" si="6"/>
        <v>0.98499999999999999</v>
      </c>
      <c r="AM34" s="5">
        <f t="shared" si="6"/>
        <v>0.98950000000000005</v>
      </c>
      <c r="AN34" s="5">
        <f t="shared" si="6"/>
        <v>0.98199999999999998</v>
      </c>
      <c r="AO34" s="5">
        <f t="shared" si="6"/>
        <v>0.98950000000000005</v>
      </c>
      <c r="AP34" s="5">
        <f t="shared" si="6"/>
        <v>0.997</v>
      </c>
      <c r="AQ34" s="5">
        <f t="shared" si="6"/>
        <v>0.99099999999999999</v>
      </c>
      <c r="AR34" s="5">
        <f t="shared" si="6"/>
        <v>0.98650000000000004</v>
      </c>
      <c r="AS34" s="5">
        <f t="shared" si="6"/>
        <v>0.97599999999999998</v>
      </c>
      <c r="AT34" s="5">
        <f t="shared" si="6"/>
        <v>0.98499999999999999</v>
      </c>
      <c r="AU34" s="5">
        <f t="shared" si="6"/>
        <v>0.98650000000000004</v>
      </c>
      <c r="AV34" s="5">
        <f t="shared" si="6"/>
        <v>0.98650000000000004</v>
      </c>
      <c r="AW34" s="5">
        <f t="shared" si="6"/>
        <v>0.98799999999999999</v>
      </c>
      <c r="AX34" s="5">
        <f t="shared" si="6"/>
        <v>0.98650000000000004</v>
      </c>
      <c r="AY34" s="5">
        <f t="shared" si="6"/>
        <v>1.0044999999999999</v>
      </c>
      <c r="AZ34" s="5">
        <f t="shared" si="6"/>
        <v>0.99099999999999999</v>
      </c>
      <c r="BA34" s="5">
        <f t="shared" si="6"/>
        <v>0.98799999999999999</v>
      </c>
      <c r="BB34" s="5">
        <f t="shared" si="6"/>
        <v>0.98650000000000004</v>
      </c>
      <c r="BC34" s="5">
        <f t="shared" si="6"/>
        <v>0.98499999999999999</v>
      </c>
      <c r="BD34" s="5">
        <f t="shared" si="6"/>
        <v>1.006</v>
      </c>
      <c r="BE34" s="5">
        <f t="shared" si="6"/>
        <v>1.0075000000000001</v>
      </c>
      <c r="BF34" s="5">
        <f t="shared" si="6"/>
        <v>1.0075000000000001</v>
      </c>
      <c r="BG34" s="5">
        <f t="shared" si="6"/>
        <v>1.0015000000000001</v>
      </c>
      <c r="BH34" s="5">
        <f t="shared" si="6"/>
        <v>0.98799999999999999</v>
      </c>
      <c r="BI34" s="5">
        <f t="shared" si="6"/>
        <v>1.0105</v>
      </c>
      <c r="BJ34" s="5">
        <f t="shared" si="6"/>
        <v>0.99399999999999999</v>
      </c>
      <c r="BK34" s="5">
        <f t="shared" si="6"/>
        <v>0.997</v>
      </c>
      <c r="BL34" s="5">
        <f t="shared" si="6"/>
        <v>0.99399999999999999</v>
      </c>
      <c r="BM34" s="5">
        <f t="shared" si="6"/>
        <v>0.98799999999999999</v>
      </c>
      <c r="BN34" s="5">
        <f t="shared" si="6"/>
        <v>0.99849999999999994</v>
      </c>
      <c r="BO34" s="5">
        <f t="shared" si="6"/>
        <v>0.97899999999999998</v>
      </c>
      <c r="BP34" s="5">
        <f t="shared" si="6"/>
        <v>0.98799999999999999</v>
      </c>
      <c r="BQ34" s="5">
        <f t="shared" ref="BQ34:CB34" si="7">1+(BQ33-1)*0.15</f>
        <v>0.99849999999999994</v>
      </c>
      <c r="BR34" s="5">
        <f t="shared" si="7"/>
        <v>1.0044999999999999</v>
      </c>
      <c r="BS34" s="5">
        <f t="shared" si="7"/>
        <v>1.0015000000000001</v>
      </c>
      <c r="BT34" s="5">
        <f t="shared" si="7"/>
        <v>1.0105</v>
      </c>
      <c r="BU34" s="5">
        <f t="shared" si="7"/>
        <v>0.97899999999999998</v>
      </c>
      <c r="BV34" s="5">
        <f t="shared" si="7"/>
        <v>0.98050000000000004</v>
      </c>
      <c r="BW34" s="5">
        <f t="shared" si="7"/>
        <v>0.97450000000000003</v>
      </c>
      <c r="BX34" s="5">
        <f t="shared" si="7"/>
        <v>0.97599999999999998</v>
      </c>
      <c r="BY34" s="5">
        <f t="shared" si="7"/>
        <v>0.99550000000000005</v>
      </c>
      <c r="BZ34" s="5">
        <f t="shared" si="7"/>
        <v>0.97899999999999998</v>
      </c>
      <c r="CA34" s="5">
        <f t="shared" si="7"/>
        <v>0.97599999999999998</v>
      </c>
      <c r="CB34" s="5">
        <f t="shared" si="7"/>
        <v>0.98799999999999999</v>
      </c>
    </row>
    <row r="35" spans="1:82" x14ac:dyDescent="0.2">
      <c r="B35" s="3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2" s="32" customFormat="1" x14ac:dyDescent="0.2">
      <c r="A36" s="21"/>
      <c r="B36" s="32" t="s">
        <v>152</v>
      </c>
      <c r="C36" s="15"/>
      <c r="D36" s="15">
        <f t="shared" ref="D36:AI36" si="8">IF(D32*D34&gt;$C32,(D32*D34-$C32)*D12*$C23*$C30,(D32*D34-$C32)*D12*$C23*$C31)</f>
        <v>-4971838.3477678373</v>
      </c>
      <c r="E36" s="15">
        <f t="shared" si="8"/>
        <v>263595.21085557138</v>
      </c>
      <c r="F36" s="15">
        <f t="shared" si="8"/>
        <v>358276.67795220175</v>
      </c>
      <c r="G36" s="15">
        <f t="shared" si="8"/>
        <v>191498.06281360835</v>
      </c>
      <c r="H36" s="15">
        <f t="shared" si="8"/>
        <v>92175.4697264243</v>
      </c>
      <c r="I36" s="15">
        <f t="shared" si="8"/>
        <v>-242544.76970095176</v>
      </c>
      <c r="J36" s="15">
        <f t="shared" si="8"/>
        <v>-68312.362828657948</v>
      </c>
      <c r="K36" s="15">
        <f t="shared" si="8"/>
        <v>25550.677976971892</v>
      </c>
      <c r="L36" s="15">
        <f t="shared" si="8"/>
        <v>386559.10451220284</v>
      </c>
      <c r="M36" s="15">
        <f t="shared" si="8"/>
        <v>281051.42109758605</v>
      </c>
      <c r="N36" s="15">
        <f t="shared" si="8"/>
        <v>439751.57900444372</v>
      </c>
      <c r="O36" s="15">
        <f t="shared" si="8"/>
        <v>-433175.18950204551</v>
      </c>
      <c r="P36" s="15">
        <f t="shared" si="8"/>
        <v>-326141.91583746579</v>
      </c>
      <c r="Q36" s="15">
        <f t="shared" si="8"/>
        <v>-168073.74195853539</v>
      </c>
      <c r="R36" s="15">
        <f t="shared" si="8"/>
        <v>-256829.05448179325</v>
      </c>
      <c r="S36" s="15">
        <f t="shared" si="8"/>
        <v>7044.1139458790158</v>
      </c>
      <c r="T36" s="15">
        <f t="shared" si="8"/>
        <v>-234873.3072844391</v>
      </c>
      <c r="U36" s="15">
        <f t="shared" si="8"/>
        <v>107667.30294761766</v>
      </c>
      <c r="V36" s="15">
        <f t="shared" si="8"/>
        <v>-142549.79676120094</v>
      </c>
      <c r="W36" s="15">
        <f t="shared" si="8"/>
        <v>646461.00587248604</v>
      </c>
      <c r="X36" s="15">
        <f t="shared" si="8"/>
        <v>65576.075271491864</v>
      </c>
      <c r="Y36" s="15">
        <f t="shared" si="8"/>
        <v>-94975.499706724659</v>
      </c>
      <c r="Z36" s="15">
        <f t="shared" si="8"/>
        <v>277161.51331974182</v>
      </c>
      <c r="AA36" s="15">
        <f t="shared" si="8"/>
        <v>-35935.680305342241</v>
      </c>
      <c r="AB36" s="15">
        <f t="shared" si="8"/>
        <v>277934.03002887499</v>
      </c>
      <c r="AC36" s="15">
        <f t="shared" si="8"/>
        <v>1057796.3308316185</v>
      </c>
      <c r="AD36" s="15">
        <f t="shared" si="8"/>
        <v>464418.54216659162</v>
      </c>
      <c r="AE36" s="15">
        <f t="shared" si="8"/>
        <v>-123747.29926606336</v>
      </c>
      <c r="AF36" s="15">
        <f t="shared" si="8"/>
        <v>174401.4154690883</v>
      </c>
      <c r="AG36" s="15">
        <f t="shared" si="8"/>
        <v>1095198.421671726</v>
      </c>
      <c r="AH36" s="15">
        <f t="shared" si="8"/>
        <v>-187559.28655600763</v>
      </c>
      <c r="AI36" s="15">
        <f t="shared" si="8"/>
        <v>401470.97994335298</v>
      </c>
      <c r="AJ36" s="15">
        <f t="shared" ref="AJ36:BO36" si="9">IF(AJ32*AJ34&gt;$C32,(AJ32*AJ34-$C32)*AJ12*$C23*$C30,(AJ32*AJ34-$C32)*AJ12*$C23*$C31)</f>
        <v>960244.7257434536</v>
      </c>
      <c r="AK36" s="15">
        <f t="shared" si="9"/>
        <v>-21728.952726545966</v>
      </c>
      <c r="AL36" s="15">
        <f t="shared" si="9"/>
        <v>542109.60132970242</v>
      </c>
      <c r="AM36" s="15">
        <f t="shared" si="9"/>
        <v>-310282.61432615656</v>
      </c>
      <c r="AN36" s="15">
        <f t="shared" si="9"/>
        <v>131043.69266118838</v>
      </c>
      <c r="AO36" s="15">
        <f t="shared" si="9"/>
        <v>1397192.3143343057</v>
      </c>
      <c r="AP36" s="15">
        <f t="shared" si="9"/>
        <v>78014.288880640568</v>
      </c>
      <c r="AQ36" s="15">
        <f t="shared" si="9"/>
        <v>495273.99730032909</v>
      </c>
      <c r="AR36" s="15">
        <f t="shared" si="9"/>
        <v>-132885.59553674745</v>
      </c>
      <c r="AS36" s="15">
        <f t="shared" si="9"/>
        <v>-77412.072430954329</v>
      </c>
      <c r="AT36" s="15">
        <f t="shared" si="9"/>
        <v>-93663.284104303748</v>
      </c>
      <c r="AU36" s="15">
        <f t="shared" si="9"/>
        <v>574906.18624288635</v>
      </c>
      <c r="AV36" s="15">
        <f t="shared" si="9"/>
        <v>970326.86632874503</v>
      </c>
      <c r="AW36" s="15">
        <f t="shared" si="9"/>
        <v>534083.21506599092</v>
      </c>
      <c r="AX36" s="15">
        <f t="shared" si="9"/>
        <v>-29926.216642637024</v>
      </c>
      <c r="AY36" s="15">
        <f t="shared" si="9"/>
        <v>810580.37508770952</v>
      </c>
      <c r="AZ36" s="15">
        <f t="shared" si="9"/>
        <v>27906.916599071508</v>
      </c>
      <c r="BA36" s="15">
        <f t="shared" si="9"/>
        <v>-1156373.0907733792</v>
      </c>
      <c r="BB36" s="15">
        <f t="shared" si="9"/>
        <v>1089018.4149494073</v>
      </c>
      <c r="BC36" s="15">
        <f t="shared" si="9"/>
        <v>367883.32597967127</v>
      </c>
      <c r="BD36" s="15">
        <f t="shared" si="9"/>
        <v>-34347.794843000469</v>
      </c>
      <c r="BE36" s="15">
        <f t="shared" si="9"/>
        <v>376307.665107971</v>
      </c>
      <c r="BF36" s="15">
        <f t="shared" si="9"/>
        <v>-46277.954998190995</v>
      </c>
      <c r="BG36" s="15">
        <f t="shared" si="9"/>
        <v>-71211.032120126751</v>
      </c>
      <c r="BH36" s="15">
        <f t="shared" si="9"/>
        <v>361154.34027242393</v>
      </c>
      <c r="BI36" s="15">
        <f t="shared" si="9"/>
        <v>306604.20352456108</v>
      </c>
      <c r="BJ36" s="15">
        <f t="shared" si="9"/>
        <v>599639.62530877942</v>
      </c>
      <c r="BK36" s="15">
        <f t="shared" si="9"/>
        <v>768360.34903581056</v>
      </c>
      <c r="BL36" s="15">
        <f t="shared" si="9"/>
        <v>536820.67901855265</v>
      </c>
      <c r="BM36" s="15">
        <f t="shared" si="9"/>
        <v>1302178.1365936368</v>
      </c>
      <c r="BN36" s="15">
        <f t="shared" si="9"/>
        <v>2849638.080968237</v>
      </c>
      <c r="BO36" s="15">
        <f t="shared" si="9"/>
        <v>1322782.8475510702</v>
      </c>
      <c r="BP36" s="15">
        <f t="shared" ref="BP36:CB36" si="10">IF(BP32*BP34&gt;$C32,(BP32*BP34-$C32)*BP12*$C23*$C30,(BP32*BP34-$C32)*BP12*$C23*$C31)</f>
        <v>649998.93951774307</v>
      </c>
      <c r="BQ36" s="15">
        <f t="shared" si="10"/>
        <v>1257290.7601264331</v>
      </c>
      <c r="BR36" s="15">
        <f t="shared" si="10"/>
        <v>1264266.7618538872</v>
      </c>
      <c r="BS36" s="15">
        <f t="shared" si="10"/>
        <v>929290.62188532564</v>
      </c>
      <c r="BT36" s="15">
        <f t="shared" si="10"/>
        <v>-611384.46087406925</v>
      </c>
      <c r="BU36" s="15">
        <f t="shared" si="10"/>
        <v>-16633.362883047354</v>
      </c>
      <c r="BV36" s="15">
        <f t="shared" si="10"/>
        <v>397145.83210425428</v>
      </c>
      <c r="BW36" s="15">
        <f t="shared" si="10"/>
        <v>524818.22119768383</v>
      </c>
      <c r="BX36" s="15">
        <f t="shared" si="10"/>
        <v>1149022.099801501</v>
      </c>
      <c r="BY36" s="15">
        <f t="shared" si="10"/>
        <v>-541140.31696936977</v>
      </c>
      <c r="BZ36" s="15">
        <f t="shared" si="10"/>
        <v>966852.67536212003</v>
      </c>
      <c r="CA36" s="15">
        <f t="shared" si="10"/>
        <v>1587527.0203034619</v>
      </c>
      <c r="CB36" s="15">
        <f t="shared" si="10"/>
        <v>182412.64901899314</v>
      </c>
      <c r="CC36" s="21"/>
      <c r="CD36" s="21"/>
    </row>
    <row r="37" spans="1:82" x14ac:dyDescent="0.2">
      <c r="C37" s="5"/>
      <c r="D37" s="5"/>
      <c r="E37" s="6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2" s="32" customFormat="1" x14ac:dyDescent="0.2">
      <c r="A38" s="63" t="s">
        <v>146</v>
      </c>
      <c r="B38" s="61" t="s">
        <v>140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1"/>
      <c r="CD38" s="61"/>
    </row>
    <row r="39" spans="1:82" x14ac:dyDescent="0.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1:82" x14ac:dyDescent="0.2">
      <c r="B40" s="3" t="s">
        <v>142</v>
      </c>
      <c r="C40" s="12">
        <v>11000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2" x14ac:dyDescent="0.2">
      <c r="B41" s="38" t="s">
        <v>143</v>
      </c>
      <c r="C41" s="10">
        <v>0.65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82" x14ac:dyDescent="0.2">
      <c r="B42" s="3" t="s">
        <v>141</v>
      </c>
      <c r="C42" s="64">
        <f t="shared" ref="C42:AH42" si="11">C15/C12</f>
        <v>2.7294051306550964E-3</v>
      </c>
      <c r="D42" s="64">
        <f t="shared" si="11"/>
        <v>2.6678932842686292E-3</v>
      </c>
      <c r="E42" s="64">
        <f t="shared" si="11"/>
        <v>4.1211621677313005E-3</v>
      </c>
      <c r="F42" s="64">
        <f t="shared" si="11"/>
        <v>1.4388489208633094E-3</v>
      </c>
      <c r="G42" s="64">
        <f t="shared" si="11"/>
        <v>2.4590163934426232E-3</v>
      </c>
      <c r="H42" s="64">
        <f t="shared" si="11"/>
        <v>2.7337342810278839E-3</v>
      </c>
      <c r="I42" s="64">
        <f t="shared" si="11"/>
        <v>3.6826599326599328E-3</v>
      </c>
      <c r="J42" s="64">
        <f t="shared" si="11"/>
        <v>2.7716186252771621E-3</v>
      </c>
      <c r="K42" s="64">
        <f t="shared" si="11"/>
        <v>0</v>
      </c>
      <c r="L42" s="64">
        <f t="shared" si="11"/>
        <v>1.3908205841446453E-3</v>
      </c>
      <c r="M42" s="64">
        <f t="shared" si="11"/>
        <v>2.8680688336520078E-3</v>
      </c>
      <c r="N42" s="64">
        <f t="shared" si="11"/>
        <v>4.70286447199658E-3</v>
      </c>
      <c r="O42" s="64">
        <f t="shared" si="11"/>
        <v>2.980222162015714E-3</v>
      </c>
      <c r="P42" s="64">
        <f t="shared" si="11"/>
        <v>3.7084127993218903E-3</v>
      </c>
      <c r="Q42" s="64">
        <f t="shared" si="11"/>
        <v>2.284843869002285E-3</v>
      </c>
      <c r="R42" s="64">
        <f t="shared" si="11"/>
        <v>3.5314891112419068E-3</v>
      </c>
      <c r="S42" s="64">
        <f t="shared" si="11"/>
        <v>1.8456375838926174E-3</v>
      </c>
      <c r="T42" s="64">
        <f t="shared" si="11"/>
        <v>3.2014342425406581E-3</v>
      </c>
      <c r="U42" s="64">
        <f t="shared" si="11"/>
        <v>3.8109756097560975E-3</v>
      </c>
      <c r="V42" s="64">
        <f t="shared" si="11"/>
        <v>1.6356573297894091E-3</v>
      </c>
      <c r="W42" s="64">
        <f t="shared" si="11"/>
        <v>2.3201856148491878E-3</v>
      </c>
      <c r="X42" s="64">
        <f t="shared" si="11"/>
        <v>2.6650266502665026E-3</v>
      </c>
      <c r="Y42" s="64">
        <f t="shared" si="11"/>
        <v>3.5296712993602469E-3</v>
      </c>
      <c r="Z42" s="64">
        <f t="shared" si="11"/>
        <v>1.4218009478672985E-3</v>
      </c>
      <c r="AA42" s="64">
        <f t="shared" si="11"/>
        <v>2.5258903763576662E-3</v>
      </c>
      <c r="AB42" s="64">
        <f t="shared" si="11"/>
        <v>1.3157894736842105E-3</v>
      </c>
      <c r="AC42" s="64">
        <f t="shared" si="11"/>
        <v>2.6729034413631807E-3</v>
      </c>
      <c r="AD42" s="64">
        <f t="shared" si="11"/>
        <v>8.2918739635157548E-4</v>
      </c>
      <c r="AE42" s="64">
        <f t="shared" si="11"/>
        <v>2.118270079435128E-3</v>
      </c>
      <c r="AF42" s="64">
        <f t="shared" si="11"/>
        <v>2.2535211267605635E-3</v>
      </c>
      <c r="AG42" s="64">
        <f t="shared" si="11"/>
        <v>2.0987827060305023E-3</v>
      </c>
      <c r="AH42" s="64">
        <f t="shared" si="11"/>
        <v>2.4881424461550422E-3</v>
      </c>
      <c r="AI42" s="64">
        <f t="shared" ref="AI42:BN42" si="12">AI15/AI12</f>
        <v>2.9342723004694834E-3</v>
      </c>
      <c r="AJ42" s="64">
        <f t="shared" si="12"/>
        <v>1.6997167138810198E-3</v>
      </c>
      <c r="AK42" s="64">
        <f t="shared" si="12"/>
        <v>3.5483870967741938E-3</v>
      </c>
      <c r="AL42" s="64">
        <f t="shared" si="12"/>
        <v>3.4807534807534809E-3</v>
      </c>
      <c r="AM42" s="64">
        <f t="shared" si="12"/>
        <v>2.2349936143039591E-3</v>
      </c>
      <c r="AN42" s="64">
        <f t="shared" si="12"/>
        <v>6.426735218508997E-4</v>
      </c>
      <c r="AO42" s="64">
        <f t="shared" si="12"/>
        <v>2.3361756804111669E-3</v>
      </c>
      <c r="AP42" s="64">
        <f t="shared" si="12"/>
        <v>1.6363264471262017E-3</v>
      </c>
      <c r="AQ42" s="64">
        <f t="shared" si="12"/>
        <v>2.1034180543382996E-3</v>
      </c>
      <c r="AR42" s="64">
        <f t="shared" si="12"/>
        <v>2.0345879959308239E-3</v>
      </c>
      <c r="AS42" s="64">
        <f t="shared" si="12"/>
        <v>1.0970927043335162E-3</v>
      </c>
      <c r="AT42" s="64">
        <f t="shared" si="12"/>
        <v>1.1648223645894002E-3</v>
      </c>
      <c r="AU42" s="64">
        <f t="shared" si="12"/>
        <v>3.869969040247678E-3</v>
      </c>
      <c r="AV42" s="64">
        <f t="shared" si="12"/>
        <v>4.6948356807511738E-3</v>
      </c>
      <c r="AW42" s="64">
        <f t="shared" si="12"/>
        <v>2.6401299756295695E-3</v>
      </c>
      <c r="AX42" s="64">
        <f t="shared" si="12"/>
        <v>1.5331544653123803E-3</v>
      </c>
      <c r="AY42" s="64">
        <f t="shared" si="12"/>
        <v>4.160887656033287E-3</v>
      </c>
      <c r="AZ42" s="64">
        <f t="shared" si="12"/>
        <v>2.6553372278279343E-3</v>
      </c>
      <c r="BA42" s="64">
        <f t="shared" si="12"/>
        <v>1.7963852329801664E-3</v>
      </c>
      <c r="BB42" s="64">
        <f t="shared" si="12"/>
        <v>2.191151919866444E-3</v>
      </c>
      <c r="BC42" s="64">
        <f t="shared" si="12"/>
        <v>1.918649270913277E-3</v>
      </c>
      <c r="BD42" s="64">
        <f t="shared" si="12"/>
        <v>3.6671368124118475E-3</v>
      </c>
      <c r="BE42" s="64">
        <f t="shared" si="12"/>
        <v>3.7992401519696059E-3</v>
      </c>
      <c r="BF42" s="64">
        <f t="shared" si="12"/>
        <v>3.4242666362287412E-3</v>
      </c>
      <c r="BG42" s="64">
        <f t="shared" si="12"/>
        <v>2.1097046413502108E-3</v>
      </c>
      <c r="BH42" s="64">
        <f t="shared" si="12"/>
        <v>3.1974420463629096E-3</v>
      </c>
      <c r="BI42" s="64">
        <f t="shared" si="12"/>
        <v>4.4510385756676559E-3</v>
      </c>
      <c r="BJ42" s="64">
        <f t="shared" si="12"/>
        <v>3.3259423503325942E-3</v>
      </c>
      <c r="BK42" s="64">
        <f t="shared" si="12"/>
        <v>2.6067776218167233E-3</v>
      </c>
      <c r="BL42" s="64">
        <f t="shared" si="12"/>
        <v>8.0946450809464502E-3</v>
      </c>
      <c r="BM42" s="64">
        <f t="shared" si="12"/>
        <v>2.1074815595363539E-3</v>
      </c>
      <c r="BN42" s="64">
        <f t="shared" si="12"/>
        <v>4.3956043956043956E-3</v>
      </c>
      <c r="BO42" s="64">
        <f t="shared" ref="BO42:CB42" si="13">BO15/BO12</f>
        <v>5.2164840897235261E-4</v>
      </c>
      <c r="BP42" s="64">
        <f t="shared" si="13"/>
        <v>3.5920662189598625E-3</v>
      </c>
      <c r="BQ42" s="64">
        <f t="shared" si="13"/>
        <v>3.5036941122705461E-3</v>
      </c>
      <c r="BR42" s="64">
        <f t="shared" si="13"/>
        <v>3.357314148681055E-3</v>
      </c>
      <c r="BS42" s="64">
        <f t="shared" si="13"/>
        <v>2.6692550351856345E-3</v>
      </c>
      <c r="BT42" s="64">
        <f t="shared" si="13"/>
        <v>3.0216482470300922E-3</v>
      </c>
      <c r="BU42" s="64">
        <f t="shared" si="13"/>
        <v>2.7128547579298831E-3</v>
      </c>
      <c r="BV42" s="64">
        <f t="shared" si="13"/>
        <v>1.7613386173491853E-3</v>
      </c>
      <c r="BW42" s="64">
        <f t="shared" si="13"/>
        <v>2.6578073089700998E-3</v>
      </c>
      <c r="BX42" s="64">
        <f t="shared" si="13"/>
        <v>1.9132653061224489E-3</v>
      </c>
      <c r="BY42" s="64">
        <f t="shared" si="13"/>
        <v>2.2089684117517121E-3</v>
      </c>
      <c r="BZ42" s="64">
        <f t="shared" si="13"/>
        <v>1.0005002501250625E-3</v>
      </c>
      <c r="CA42" s="64">
        <f t="shared" si="13"/>
        <v>1.6982734220209455E-3</v>
      </c>
      <c r="CB42" s="64">
        <f t="shared" si="13"/>
        <v>3.0022817341179295E-3</v>
      </c>
    </row>
    <row r="43" spans="1:82" x14ac:dyDescent="0.2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1:82" s="32" customFormat="1" x14ac:dyDescent="0.2">
      <c r="A44" s="21"/>
      <c r="B44" s="32" t="s">
        <v>153</v>
      </c>
      <c r="C44" s="15"/>
      <c r="D44" s="15">
        <f t="shared" ref="D44:AI44" si="14">IF(D42&gt;$C42,(D42-$C42)*D12*$C40*$C41,0)</f>
        <v>0</v>
      </c>
      <c r="E44" s="15">
        <f t="shared" si="14"/>
        <v>96585.015683310703</v>
      </c>
      <c r="F44" s="15">
        <f t="shared" si="14"/>
        <v>0</v>
      </c>
      <c r="G44" s="15">
        <f t="shared" si="14"/>
        <v>0</v>
      </c>
      <c r="H44" s="15">
        <f t="shared" si="14"/>
        <v>113.22762925514621</v>
      </c>
      <c r="I44" s="15">
        <f t="shared" si="14"/>
        <v>64777.095513515851</v>
      </c>
      <c r="J44" s="15">
        <f t="shared" si="14"/>
        <v>1088.9899634643525</v>
      </c>
      <c r="K44" s="15">
        <f t="shared" si="14"/>
        <v>0</v>
      </c>
      <c r="L44" s="15">
        <f t="shared" si="14"/>
        <v>0</v>
      </c>
      <c r="M44" s="15">
        <f t="shared" si="14"/>
        <v>1037.0519683436005</v>
      </c>
      <c r="N44" s="15">
        <f t="shared" si="14"/>
        <v>33003.838005693768</v>
      </c>
      <c r="O44" s="15">
        <f t="shared" si="14"/>
        <v>13238.448977354166</v>
      </c>
      <c r="P44" s="15">
        <f t="shared" si="14"/>
        <v>66065.10179467198</v>
      </c>
      <c r="Q44" s="15">
        <f t="shared" si="14"/>
        <v>0</v>
      </c>
      <c r="R44" s="15">
        <f t="shared" si="14"/>
        <v>19487.191767142969</v>
      </c>
      <c r="S44" s="15">
        <f t="shared" si="14"/>
        <v>0</v>
      </c>
      <c r="T44" s="15">
        <f t="shared" si="14"/>
        <v>26355.438643207613</v>
      </c>
      <c r="U44" s="15">
        <f t="shared" si="14"/>
        <v>30437.989051052013</v>
      </c>
      <c r="V44" s="15">
        <f t="shared" si="14"/>
        <v>0</v>
      </c>
      <c r="W44" s="15">
        <f t="shared" si="14"/>
        <v>0</v>
      </c>
      <c r="X44" s="15">
        <f t="shared" si="14"/>
        <v>0</v>
      </c>
      <c r="Y44" s="15">
        <f t="shared" si="14"/>
        <v>25937.386780594199</v>
      </c>
      <c r="Z44" s="15">
        <f t="shared" si="14"/>
        <v>0</v>
      </c>
      <c r="AA44" s="15">
        <f t="shared" si="14"/>
        <v>0</v>
      </c>
      <c r="AB44" s="15">
        <f t="shared" si="14"/>
        <v>0</v>
      </c>
      <c r="AC44" s="15">
        <f t="shared" si="14"/>
        <v>0</v>
      </c>
      <c r="AD44" s="15">
        <f t="shared" si="14"/>
        <v>0</v>
      </c>
      <c r="AE44" s="15">
        <f t="shared" si="14"/>
        <v>0</v>
      </c>
      <c r="AF44" s="15">
        <f t="shared" si="14"/>
        <v>0</v>
      </c>
      <c r="AG44" s="15">
        <f t="shared" si="14"/>
        <v>0</v>
      </c>
      <c r="AH44" s="15">
        <f t="shared" si="14"/>
        <v>0</v>
      </c>
      <c r="AI44" s="15">
        <f t="shared" si="14"/>
        <v>7488.0589504516965</v>
      </c>
      <c r="AJ44" s="15">
        <f t="shared" ref="AJ44:BO44" si="15">IF(AJ42&gt;$C42,(AJ42-$C42)*AJ12*$C40*$C41,0)</f>
        <v>0</v>
      </c>
      <c r="AK44" s="15">
        <f t="shared" si="15"/>
        <v>36305.470558059591</v>
      </c>
      <c r="AL44" s="15">
        <f t="shared" si="15"/>
        <v>26237.535194445649</v>
      </c>
      <c r="AM44" s="15">
        <f t="shared" si="15"/>
        <v>0</v>
      </c>
      <c r="AN44" s="15">
        <f t="shared" si="15"/>
        <v>0</v>
      </c>
      <c r="AO44" s="15">
        <f t="shared" si="15"/>
        <v>0</v>
      </c>
      <c r="AP44" s="15">
        <f t="shared" si="15"/>
        <v>0</v>
      </c>
      <c r="AQ44" s="15">
        <f t="shared" si="15"/>
        <v>0</v>
      </c>
      <c r="AR44" s="15">
        <f t="shared" si="15"/>
        <v>0</v>
      </c>
      <c r="AS44" s="15">
        <f t="shared" si="15"/>
        <v>0</v>
      </c>
      <c r="AT44" s="15">
        <f t="shared" si="15"/>
        <v>0</v>
      </c>
      <c r="AU44" s="15">
        <f t="shared" si="15"/>
        <v>31608.903852103056</v>
      </c>
      <c r="AV44" s="15">
        <f t="shared" si="15"/>
        <v>41905.534387763495</v>
      </c>
      <c r="AW44" s="15">
        <f t="shared" si="15"/>
        <v>0</v>
      </c>
      <c r="AX44" s="15">
        <f t="shared" si="15"/>
        <v>0</v>
      </c>
      <c r="AY44" s="15">
        <f t="shared" si="15"/>
        <v>66415.564266330402</v>
      </c>
      <c r="AZ44" s="15">
        <f t="shared" si="15"/>
        <v>0</v>
      </c>
      <c r="BA44" s="15">
        <f t="shared" si="15"/>
        <v>0</v>
      </c>
      <c r="BB44" s="15">
        <f t="shared" si="15"/>
        <v>0</v>
      </c>
      <c r="BC44" s="15">
        <f t="shared" si="15"/>
        <v>0</v>
      </c>
      <c r="BD44" s="15">
        <f t="shared" si="15"/>
        <v>23768.450504567933</v>
      </c>
      <c r="BE44" s="15">
        <f t="shared" si="15"/>
        <v>38254.251332396118</v>
      </c>
      <c r="BF44" s="15">
        <f t="shared" si="15"/>
        <v>43526.923799864519</v>
      </c>
      <c r="BG44" s="15">
        <f t="shared" si="15"/>
        <v>0</v>
      </c>
      <c r="BH44" s="15">
        <f t="shared" si="15"/>
        <v>4186.4263980858914</v>
      </c>
      <c r="BI44" s="15">
        <f t="shared" si="15"/>
        <v>49780.342409160156</v>
      </c>
      <c r="BJ44" s="15">
        <f t="shared" si="15"/>
        <v>3847.247490866087</v>
      </c>
      <c r="BK44" s="15">
        <f t="shared" si="15"/>
        <v>0</v>
      </c>
      <c r="BL44" s="15">
        <f t="shared" si="15"/>
        <v>61608.513825200593</v>
      </c>
      <c r="BM44" s="15">
        <f t="shared" si="15"/>
        <v>0</v>
      </c>
      <c r="BN44" s="15">
        <f t="shared" si="15"/>
        <v>108411.25517392617</v>
      </c>
      <c r="BO44" s="15">
        <f t="shared" si="15"/>
        <v>0</v>
      </c>
      <c r="BP44" s="15">
        <f t="shared" ref="BP44:CB44" si="16">IF(BP42&gt;$C42,(BP42-$C42)*BP12*$C40*$C41,0)</f>
        <v>39493.875481170231</v>
      </c>
      <c r="BQ44" s="15">
        <f t="shared" si="16"/>
        <v>72684.326283349059</v>
      </c>
      <c r="BR44" s="15">
        <f t="shared" si="16"/>
        <v>46803.553317382422</v>
      </c>
      <c r="BS44" s="15">
        <f t="shared" si="16"/>
        <v>0</v>
      </c>
      <c r="BT44" s="15">
        <f t="shared" si="16"/>
        <v>50481.155356800198</v>
      </c>
      <c r="BU44" s="15">
        <f t="shared" si="16"/>
        <v>0</v>
      </c>
      <c r="BV44" s="15">
        <f t="shared" si="16"/>
        <v>0</v>
      </c>
      <c r="BW44" s="15">
        <f t="shared" si="16"/>
        <v>0</v>
      </c>
      <c r="BX44" s="15">
        <f t="shared" si="16"/>
        <v>0</v>
      </c>
      <c r="BY44" s="15">
        <f t="shared" si="16"/>
        <v>0</v>
      </c>
      <c r="BZ44" s="15">
        <f t="shared" si="16"/>
        <v>0</v>
      </c>
      <c r="CA44" s="15">
        <f t="shared" si="16"/>
        <v>0</v>
      </c>
      <c r="CB44" s="15">
        <f t="shared" si="16"/>
        <v>16246.540860800333</v>
      </c>
      <c r="CC44" s="21"/>
      <c r="CD44" s="21"/>
    </row>
    <row r="45" spans="1:82" x14ac:dyDescent="0.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2" s="32" customFormat="1" x14ac:dyDescent="0.2">
      <c r="A46" s="63" t="s">
        <v>154</v>
      </c>
      <c r="B46" s="61" t="s">
        <v>155</v>
      </c>
      <c r="C46" s="62"/>
      <c r="D46" s="62">
        <f t="shared" ref="D46:J46" si="17">IF(D36+D44&lt;0,0,D36+D44)</f>
        <v>0</v>
      </c>
      <c r="E46" s="62">
        <f t="shared" si="17"/>
        <v>360180.22653888207</v>
      </c>
      <c r="F46" s="62">
        <f t="shared" si="17"/>
        <v>358276.67795220175</v>
      </c>
      <c r="G46" s="62">
        <f t="shared" si="17"/>
        <v>191498.06281360835</v>
      </c>
      <c r="H46" s="62">
        <f t="shared" si="17"/>
        <v>92288.69735567944</v>
      </c>
      <c r="I46" s="62">
        <f t="shared" si="17"/>
        <v>0</v>
      </c>
      <c r="J46" s="62">
        <f t="shared" si="17"/>
        <v>0</v>
      </c>
      <c r="K46" s="62">
        <f t="shared" ref="K46:BV46" si="18">IF(K36+K44&lt;0,0,K36+K44)</f>
        <v>25550.677976971892</v>
      </c>
      <c r="L46" s="62">
        <f t="shared" si="18"/>
        <v>386559.10451220284</v>
      </c>
      <c r="M46" s="62">
        <f t="shared" si="18"/>
        <v>282088.47306592966</v>
      </c>
      <c r="N46" s="62">
        <f t="shared" si="18"/>
        <v>472755.41701013746</v>
      </c>
      <c r="O46" s="62">
        <f t="shared" si="18"/>
        <v>0</v>
      </c>
      <c r="P46" s="62">
        <f t="shared" si="18"/>
        <v>0</v>
      </c>
      <c r="Q46" s="62">
        <f t="shared" si="18"/>
        <v>0</v>
      </c>
      <c r="R46" s="62">
        <f t="shared" si="18"/>
        <v>0</v>
      </c>
      <c r="S46" s="62">
        <f t="shared" si="18"/>
        <v>7044.1139458790158</v>
      </c>
      <c r="T46" s="62">
        <f t="shared" si="18"/>
        <v>0</v>
      </c>
      <c r="U46" s="62">
        <f t="shared" si="18"/>
        <v>138105.29199866968</v>
      </c>
      <c r="V46" s="62">
        <f t="shared" si="18"/>
        <v>0</v>
      </c>
      <c r="W46" s="62">
        <f t="shared" si="18"/>
        <v>646461.00587248604</v>
      </c>
      <c r="X46" s="62">
        <f t="shared" si="18"/>
        <v>65576.075271491864</v>
      </c>
      <c r="Y46" s="62">
        <f t="shared" si="18"/>
        <v>0</v>
      </c>
      <c r="Z46" s="62">
        <f t="shared" si="18"/>
        <v>277161.51331974182</v>
      </c>
      <c r="AA46" s="62">
        <f t="shared" si="18"/>
        <v>0</v>
      </c>
      <c r="AB46" s="62">
        <f t="shared" si="18"/>
        <v>277934.03002887499</v>
      </c>
      <c r="AC46" s="62">
        <f t="shared" si="18"/>
        <v>1057796.3308316185</v>
      </c>
      <c r="AD46" s="62">
        <f t="shared" si="18"/>
        <v>464418.54216659162</v>
      </c>
      <c r="AE46" s="62">
        <f t="shared" si="18"/>
        <v>0</v>
      </c>
      <c r="AF46" s="62">
        <f t="shared" si="18"/>
        <v>174401.4154690883</v>
      </c>
      <c r="AG46" s="62">
        <f t="shared" si="18"/>
        <v>1095198.421671726</v>
      </c>
      <c r="AH46" s="62">
        <f t="shared" si="18"/>
        <v>0</v>
      </c>
      <c r="AI46" s="62">
        <f t="shared" si="18"/>
        <v>408959.03889380465</v>
      </c>
      <c r="AJ46" s="62">
        <f t="shared" si="18"/>
        <v>960244.7257434536</v>
      </c>
      <c r="AK46" s="62">
        <f t="shared" si="18"/>
        <v>14576.517831513625</v>
      </c>
      <c r="AL46" s="62">
        <f t="shared" si="18"/>
        <v>568347.13652414805</v>
      </c>
      <c r="AM46" s="62">
        <f t="shared" si="18"/>
        <v>0</v>
      </c>
      <c r="AN46" s="62">
        <f t="shared" si="18"/>
        <v>131043.69266118838</v>
      </c>
      <c r="AO46" s="62">
        <f t="shared" si="18"/>
        <v>1397192.3143343057</v>
      </c>
      <c r="AP46" s="62">
        <f t="shared" si="18"/>
        <v>78014.288880640568</v>
      </c>
      <c r="AQ46" s="62">
        <f t="shared" si="18"/>
        <v>495273.99730032909</v>
      </c>
      <c r="AR46" s="62">
        <f t="shared" si="18"/>
        <v>0</v>
      </c>
      <c r="AS46" s="62">
        <f t="shared" si="18"/>
        <v>0</v>
      </c>
      <c r="AT46" s="62">
        <f t="shared" si="18"/>
        <v>0</v>
      </c>
      <c r="AU46" s="62">
        <f t="shared" si="18"/>
        <v>606515.0900949894</v>
      </c>
      <c r="AV46" s="62">
        <f t="shared" si="18"/>
        <v>1012232.4007165085</v>
      </c>
      <c r="AW46" s="62">
        <f t="shared" si="18"/>
        <v>534083.21506599092</v>
      </c>
      <c r="AX46" s="62">
        <f t="shared" si="18"/>
        <v>0</v>
      </c>
      <c r="AY46" s="62">
        <f t="shared" si="18"/>
        <v>876995.93935403996</v>
      </c>
      <c r="AZ46" s="62">
        <f t="shared" si="18"/>
        <v>27906.916599071508</v>
      </c>
      <c r="BA46" s="62">
        <f t="shared" si="18"/>
        <v>0</v>
      </c>
      <c r="BB46" s="62">
        <f t="shared" si="18"/>
        <v>1089018.4149494073</v>
      </c>
      <c r="BC46" s="62">
        <f t="shared" si="18"/>
        <v>367883.32597967127</v>
      </c>
      <c r="BD46" s="62">
        <f t="shared" si="18"/>
        <v>0</v>
      </c>
      <c r="BE46" s="62">
        <f t="shared" si="18"/>
        <v>414561.91644036712</v>
      </c>
      <c r="BF46" s="62">
        <f t="shared" si="18"/>
        <v>0</v>
      </c>
      <c r="BG46" s="62">
        <f t="shared" si="18"/>
        <v>0</v>
      </c>
      <c r="BH46" s="62">
        <f t="shared" si="18"/>
        <v>365340.76667050982</v>
      </c>
      <c r="BI46" s="62">
        <f t="shared" si="18"/>
        <v>356384.54593372124</v>
      </c>
      <c r="BJ46" s="62">
        <f t="shared" si="18"/>
        <v>603486.87279964553</v>
      </c>
      <c r="BK46" s="62">
        <f t="shared" si="18"/>
        <v>768360.34903581056</v>
      </c>
      <c r="BL46" s="62">
        <f t="shared" si="18"/>
        <v>598429.19284375326</v>
      </c>
      <c r="BM46" s="62">
        <f t="shared" si="18"/>
        <v>1302178.1365936368</v>
      </c>
      <c r="BN46" s="62">
        <f t="shared" si="18"/>
        <v>2958049.3361421633</v>
      </c>
      <c r="BO46" s="62">
        <f t="shared" si="18"/>
        <v>1322782.8475510702</v>
      </c>
      <c r="BP46" s="62">
        <f t="shared" si="18"/>
        <v>689492.81499891332</v>
      </c>
      <c r="BQ46" s="62">
        <f t="shared" si="18"/>
        <v>1329975.0864097821</v>
      </c>
      <c r="BR46" s="62">
        <f t="shared" si="18"/>
        <v>1311070.3151712697</v>
      </c>
      <c r="BS46" s="62">
        <f t="shared" si="18"/>
        <v>929290.62188532564</v>
      </c>
      <c r="BT46" s="62">
        <f t="shared" si="18"/>
        <v>0</v>
      </c>
      <c r="BU46" s="62">
        <f t="shared" si="18"/>
        <v>0</v>
      </c>
      <c r="BV46" s="62">
        <f t="shared" si="18"/>
        <v>397145.83210425428</v>
      </c>
      <c r="BW46" s="62">
        <f t="shared" ref="BW46:CB46" si="19">IF(BW36+BW44&lt;0,0,BW36+BW44)</f>
        <v>524818.22119768383</v>
      </c>
      <c r="BX46" s="62">
        <f t="shared" si="19"/>
        <v>1149022.099801501</v>
      </c>
      <c r="BY46" s="62">
        <f t="shared" si="19"/>
        <v>0</v>
      </c>
      <c r="BZ46" s="62">
        <f t="shared" si="19"/>
        <v>966852.67536212003</v>
      </c>
      <c r="CA46" s="62">
        <f t="shared" si="19"/>
        <v>1587527.0203034619</v>
      </c>
      <c r="CB46" s="62">
        <f t="shared" si="19"/>
        <v>198659.18987979347</v>
      </c>
      <c r="CC46" s="61"/>
      <c r="CD46" s="61"/>
    </row>
    <row r="47" spans="1:82" x14ac:dyDescent="0.2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2" x14ac:dyDescent="0.2">
      <c r="A48" s="63" t="s">
        <v>160</v>
      </c>
      <c r="B48" s="61" t="s">
        <v>156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7"/>
      <c r="CD48" s="67"/>
    </row>
    <row r="49" spans="1:82" x14ac:dyDescent="0.2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2" x14ac:dyDescent="0.2">
      <c r="B50" s="3" t="s">
        <v>158</v>
      </c>
      <c r="C50" s="5"/>
      <c r="D50" s="66">
        <f>'Ressourcenausgleich Basis'!D144</f>
        <v>1.106424685005841</v>
      </c>
      <c r="E50" s="66">
        <f>'Ressourcenausgleich Basis'!E144</f>
        <v>0.80986362969109826</v>
      </c>
      <c r="F50" s="66">
        <f>'Ressourcenausgleich Basis'!F144</f>
        <v>0.78125408877529812</v>
      </c>
      <c r="G50" s="66">
        <f>'Ressourcenausgleich Basis'!G144</f>
        <v>0.7379530379789071</v>
      </c>
      <c r="H50" s="66">
        <f>'Ressourcenausgleich Basis'!H144</f>
        <v>1.6893178627583125</v>
      </c>
      <c r="I50" s="66">
        <f>'Ressourcenausgleich Basis'!I144</f>
        <v>0.99155717814414335</v>
      </c>
      <c r="J50" s="66">
        <f>'Ressourcenausgleich Basis'!J144</f>
        <v>0.97643407279203909</v>
      </c>
      <c r="K50" s="66">
        <f>'Ressourcenausgleich Basis'!K144</f>
        <v>0.99876606303257498</v>
      </c>
      <c r="L50" s="66">
        <f>'Ressourcenausgleich Basis'!L144</f>
        <v>1.2393838395368291</v>
      </c>
      <c r="M50" s="66">
        <f>'Ressourcenausgleich Basis'!M144</f>
        <v>0.91750324003941608</v>
      </c>
      <c r="N50" s="66">
        <f>'Ressourcenausgleich Basis'!N144</f>
        <v>0.87088153739158392</v>
      </c>
      <c r="O50" s="66">
        <f>'Ressourcenausgleich Basis'!O144</f>
        <v>1.0149126792241701</v>
      </c>
      <c r="P50" s="66">
        <f>'Ressourcenausgleich Basis'!P144</f>
        <v>0.8062905672484626</v>
      </c>
      <c r="Q50" s="66">
        <f>'Ressourcenausgleich Basis'!Q144</f>
        <v>1.2264054091852901</v>
      </c>
      <c r="R50" s="66">
        <f>'Ressourcenausgleich Basis'!R144</f>
        <v>0.8706171854759891</v>
      </c>
      <c r="S50" s="66">
        <f>'Ressourcenausgleich Basis'!S144</f>
        <v>0.78011566471913862</v>
      </c>
      <c r="T50" s="66">
        <f>'Ressourcenausgleich Basis'!T144</f>
        <v>1.1696538373973508</v>
      </c>
      <c r="U50" s="66">
        <f>'Ressourcenausgleich Basis'!U144</f>
        <v>1.1359980147006199</v>
      </c>
      <c r="V50" s="66">
        <f>'Ressourcenausgleich Basis'!V144</f>
        <v>1.5702583212052628</v>
      </c>
      <c r="W50" s="66">
        <f>'Ressourcenausgleich Basis'!W144</f>
        <v>1.0299793772107</v>
      </c>
      <c r="X50" s="66">
        <f>'Ressourcenausgleich Basis'!X144</f>
        <v>1.1211449311188078</v>
      </c>
      <c r="Y50" s="66">
        <f>'Ressourcenausgleich Basis'!Y144</f>
        <v>0.90994899183202993</v>
      </c>
      <c r="Z50" s="66">
        <f>'Ressourcenausgleich Basis'!Z144</f>
        <v>0.85804082999158637</v>
      </c>
      <c r="AA50" s="66">
        <f>'Ressourcenausgleich Basis'!AA144</f>
        <v>0.95873510246148919</v>
      </c>
      <c r="AB50" s="66">
        <f>'Ressourcenausgleich Basis'!AB144</f>
        <v>0.7918745263017205</v>
      </c>
      <c r="AC50" s="66">
        <f>'Ressourcenausgleich Basis'!AC144</f>
        <v>0.9304686776432205</v>
      </c>
      <c r="AD50" s="66">
        <f>'Ressourcenausgleich Basis'!AD144</f>
        <v>0.83188855113585025</v>
      </c>
      <c r="AE50" s="66">
        <f>'Ressourcenausgleich Basis'!AE144</f>
        <v>1.2060165740974269</v>
      </c>
      <c r="AF50" s="66">
        <f>'Ressourcenausgleich Basis'!AF144</f>
        <v>0.79934752994691693</v>
      </c>
      <c r="AG50" s="66">
        <f>'Ressourcenausgleich Basis'!AG144</f>
        <v>0.82007653420158455</v>
      </c>
      <c r="AH50" s="66">
        <f>'Ressourcenausgleich Basis'!AH144</f>
        <v>1.0714012351250262</v>
      </c>
      <c r="AI50" s="66">
        <f>'Ressourcenausgleich Basis'!AI144</f>
        <v>0.8852707709274068</v>
      </c>
      <c r="AJ50" s="66">
        <f>'Ressourcenausgleich Basis'!AJ144</f>
        <v>0.75693703739140117</v>
      </c>
      <c r="AK50" s="66">
        <f>'Ressourcenausgleich Basis'!AK144</f>
        <v>0.88469234630908122</v>
      </c>
      <c r="AL50" s="66">
        <f>'Ressourcenausgleich Basis'!AL144</f>
        <v>0.78386067551529159</v>
      </c>
      <c r="AM50" s="66">
        <f>'Ressourcenausgleich Basis'!AM144</f>
        <v>1.0730942775105923</v>
      </c>
      <c r="AN50" s="66">
        <f>'Ressourcenausgleich Basis'!AN144</f>
        <v>0.70070115167311475</v>
      </c>
      <c r="AO50" s="66">
        <f>'Ressourcenausgleich Basis'!AO144</f>
        <v>0.76704439158731075</v>
      </c>
      <c r="AP50" s="66">
        <f>'Ressourcenausgleich Basis'!AP144</f>
        <v>0.84633761134326491</v>
      </c>
      <c r="AQ50" s="66">
        <f>'Ressourcenausgleich Basis'!AQ144</f>
        <v>0.83274489877566904</v>
      </c>
      <c r="AR50" s="66">
        <f>'Ressourcenausgleich Basis'!AR144</f>
        <v>0.89069003945342418</v>
      </c>
      <c r="AS50" s="66">
        <f>'Ressourcenausgleich Basis'!AS144</f>
        <v>1.1014247467995097</v>
      </c>
      <c r="AT50" s="66">
        <f>'Ressourcenausgleich Basis'!AT144</f>
        <v>1.0971334495283691</v>
      </c>
      <c r="AU50" s="66">
        <f>'Ressourcenausgleich Basis'!AU144</f>
        <v>0.76674169408940107</v>
      </c>
      <c r="AV50" s="66">
        <f>'Ressourcenausgleich Basis'!AV144</f>
        <v>0.7881737679861256</v>
      </c>
      <c r="AW50" s="66">
        <f>'Ressourcenausgleich Basis'!AW144</f>
        <v>0.77164392504863943</v>
      </c>
      <c r="AX50" s="66">
        <f>'Ressourcenausgleich Basis'!AX144</f>
        <v>0.9938950344867743</v>
      </c>
      <c r="AY50" s="66">
        <f>'Ressourcenausgleich Basis'!AY144</f>
        <v>0.87352855102956328</v>
      </c>
      <c r="AZ50" s="66">
        <f>'Ressourcenausgleich Basis'!AZ144</f>
        <v>1.0463174164904792</v>
      </c>
      <c r="BA50" s="66">
        <f>'Ressourcenausgleich Basis'!BA144</f>
        <v>1.7308040542111744</v>
      </c>
      <c r="BB50" s="66">
        <f>'Ressourcenausgleich Basis'!BB144</f>
        <v>0.88360813916099223</v>
      </c>
      <c r="BC50" s="66">
        <f>'Ressourcenausgleich Basis'!BC144</f>
        <v>0.9094655219885811</v>
      </c>
      <c r="BD50" s="66">
        <f>'Ressourcenausgleich Basis'!BD144</f>
        <v>0.70748888816990863</v>
      </c>
      <c r="BE50" s="66">
        <f>'Ressourcenausgleich Basis'!BE144</f>
        <v>0.73654706847868656</v>
      </c>
      <c r="BF50" s="66">
        <f>'Ressourcenausgleich Basis'!BF144</f>
        <v>0.73524038927511715</v>
      </c>
      <c r="BG50" s="66">
        <f>'Ressourcenausgleich Basis'!BG144</f>
        <v>0.77848625428070117</v>
      </c>
      <c r="BH50" s="66">
        <f>'Ressourcenausgleich Basis'!BH144</f>
        <v>0.66345846841398681</v>
      </c>
      <c r="BI50" s="66">
        <f>'Ressourcenausgleich Basis'!BI144</f>
        <v>0.59116781335145807</v>
      </c>
      <c r="BJ50" s="66">
        <f>'Ressourcenausgleich Basis'!BJ144</f>
        <v>0.60822765672612167</v>
      </c>
      <c r="BK50" s="66">
        <f>'Ressourcenausgleich Basis'!BK144</f>
        <v>0.74623780121560024</v>
      </c>
      <c r="BL50" s="66">
        <f>'Ressourcenausgleich Basis'!BL144</f>
        <v>0.67800066949600524</v>
      </c>
      <c r="BM50" s="66">
        <f>'Ressourcenausgleich Basis'!BM144</f>
        <v>0.60172979742074151</v>
      </c>
      <c r="BN50" s="66">
        <f>'Ressourcenausgleich Basis'!BN144</f>
        <v>0.79981600280401866</v>
      </c>
      <c r="BO50" s="66">
        <f>'Ressourcenausgleich Basis'!BO144</f>
        <v>0.8594938877892172</v>
      </c>
      <c r="BP50" s="66">
        <f>'Ressourcenausgleich Basis'!BP144</f>
        <v>0.84774036892340299</v>
      </c>
      <c r="BQ50" s="66">
        <f>'Ressourcenausgleich Basis'!BQ144</f>
        <v>0.8297914263733418</v>
      </c>
      <c r="BR50" s="66">
        <f>'Ressourcenausgleich Basis'!BR144</f>
        <v>0.79420138970435217</v>
      </c>
      <c r="BS50" s="66">
        <f>'Ressourcenausgleich Basis'!BS144</f>
        <v>0.72549933240024833</v>
      </c>
      <c r="BT50" s="66">
        <f>'Ressourcenausgleich Basis'!BT144</f>
        <v>1.0841108110004032</v>
      </c>
      <c r="BU50" s="66">
        <f>'Ressourcenausgleich Basis'!BU144</f>
        <v>1.2347874327499626</v>
      </c>
      <c r="BV50" s="66">
        <f>'Ressourcenausgleich Basis'!BV144</f>
        <v>1.052323252264624</v>
      </c>
      <c r="BW50" s="66">
        <f>'Ressourcenausgleich Basis'!BW144</f>
        <v>0.76139957604532194</v>
      </c>
      <c r="BX50" s="66">
        <f>'Ressourcenausgleich Basis'!BX144</f>
        <v>0.83972901314346693</v>
      </c>
      <c r="BY50" s="66">
        <f>'Ressourcenausgleich Basis'!BY144</f>
        <v>0.95282842951425117</v>
      </c>
      <c r="BZ50" s="66">
        <f>'Ressourcenausgleich Basis'!BZ144</f>
        <v>0.97157119890123744</v>
      </c>
      <c r="CA50" s="66">
        <f>'Ressourcenausgleich Basis'!CA144</f>
        <v>0.83323172568185455</v>
      </c>
      <c r="CB50" s="66">
        <f>'Ressourcenausgleich Basis'!CB144</f>
        <v>1.1104216178712163</v>
      </c>
    </row>
    <row r="51" spans="1:82" x14ac:dyDescent="0.2">
      <c r="C51" s="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</row>
    <row r="52" spans="1:82" x14ac:dyDescent="0.2">
      <c r="B52" s="3" t="s">
        <v>159</v>
      </c>
      <c r="C52" s="5"/>
      <c r="D52" s="66">
        <f>IF(D50&lt;100%,0%,IF(D50&gt;120%,100%,(-100%+D50)/20*100))</f>
        <v>0.53212342502920507</v>
      </c>
      <c r="E52" s="66">
        <f t="shared" ref="E52:BP52" si="20">IF(E50&lt;100%,0%,IF(E50&gt;120%,100%,(-100%+E50)/20*100))</f>
        <v>0</v>
      </c>
      <c r="F52" s="66">
        <f t="shared" si="20"/>
        <v>0</v>
      </c>
      <c r="G52" s="66">
        <f t="shared" si="20"/>
        <v>0</v>
      </c>
      <c r="H52" s="66">
        <f t="shared" si="20"/>
        <v>1</v>
      </c>
      <c r="I52" s="66">
        <f t="shared" si="20"/>
        <v>0</v>
      </c>
      <c r="J52" s="66">
        <f t="shared" si="20"/>
        <v>0</v>
      </c>
      <c r="K52" s="66">
        <f t="shared" si="20"/>
        <v>0</v>
      </c>
      <c r="L52" s="66">
        <f t="shared" si="20"/>
        <v>1</v>
      </c>
      <c r="M52" s="66">
        <f t="shared" si="20"/>
        <v>0</v>
      </c>
      <c r="N52" s="66">
        <f t="shared" si="20"/>
        <v>0</v>
      </c>
      <c r="O52" s="66">
        <f t="shared" si="20"/>
        <v>7.4563396120850278E-2</v>
      </c>
      <c r="P52" s="66">
        <f t="shared" si="20"/>
        <v>0</v>
      </c>
      <c r="Q52" s="66">
        <f t="shared" si="20"/>
        <v>1</v>
      </c>
      <c r="R52" s="66">
        <f t="shared" si="20"/>
        <v>0</v>
      </c>
      <c r="S52" s="66">
        <f t="shared" si="20"/>
        <v>0</v>
      </c>
      <c r="T52" s="66">
        <f t="shared" si="20"/>
        <v>0.84826918698675435</v>
      </c>
      <c r="U52" s="66">
        <f t="shared" si="20"/>
        <v>0.67999007350309948</v>
      </c>
      <c r="V52" s="66">
        <f t="shared" si="20"/>
        <v>1</v>
      </c>
      <c r="W52" s="66">
        <f t="shared" si="20"/>
        <v>0.14989688605349993</v>
      </c>
      <c r="X52" s="66">
        <f t="shared" si="20"/>
        <v>0.60572465559403876</v>
      </c>
      <c r="Y52" s="66">
        <f t="shared" si="20"/>
        <v>0</v>
      </c>
      <c r="Z52" s="66">
        <f t="shared" si="20"/>
        <v>0</v>
      </c>
      <c r="AA52" s="66">
        <f t="shared" si="20"/>
        <v>0</v>
      </c>
      <c r="AB52" s="66">
        <f t="shared" si="20"/>
        <v>0</v>
      </c>
      <c r="AC52" s="66">
        <f t="shared" si="20"/>
        <v>0</v>
      </c>
      <c r="AD52" s="66">
        <f t="shared" si="20"/>
        <v>0</v>
      </c>
      <c r="AE52" s="66">
        <f t="shared" si="20"/>
        <v>1</v>
      </c>
      <c r="AF52" s="66">
        <f t="shared" si="20"/>
        <v>0</v>
      </c>
      <c r="AG52" s="66">
        <f t="shared" si="20"/>
        <v>0</v>
      </c>
      <c r="AH52" s="66">
        <f t="shared" si="20"/>
        <v>0.35700617562513082</v>
      </c>
      <c r="AI52" s="66">
        <f t="shared" si="20"/>
        <v>0</v>
      </c>
      <c r="AJ52" s="66">
        <f t="shared" si="20"/>
        <v>0</v>
      </c>
      <c r="AK52" s="66">
        <f t="shared" si="20"/>
        <v>0</v>
      </c>
      <c r="AL52" s="66">
        <f t="shared" si="20"/>
        <v>0</v>
      </c>
      <c r="AM52" s="66">
        <f t="shared" si="20"/>
        <v>0.36547138755296138</v>
      </c>
      <c r="AN52" s="66">
        <f t="shared" si="20"/>
        <v>0</v>
      </c>
      <c r="AO52" s="66">
        <f t="shared" si="20"/>
        <v>0</v>
      </c>
      <c r="AP52" s="66">
        <f t="shared" si="20"/>
        <v>0</v>
      </c>
      <c r="AQ52" s="66">
        <f t="shared" si="20"/>
        <v>0</v>
      </c>
      <c r="AR52" s="66">
        <f t="shared" si="20"/>
        <v>0</v>
      </c>
      <c r="AS52" s="66">
        <f t="shared" si="20"/>
        <v>0.50712373399754873</v>
      </c>
      <c r="AT52" s="66">
        <f t="shared" si="20"/>
        <v>0.48566724764184555</v>
      </c>
      <c r="AU52" s="66">
        <f t="shared" si="20"/>
        <v>0</v>
      </c>
      <c r="AV52" s="66">
        <f t="shared" si="20"/>
        <v>0</v>
      </c>
      <c r="AW52" s="66">
        <f t="shared" si="20"/>
        <v>0</v>
      </c>
      <c r="AX52" s="66">
        <f t="shared" si="20"/>
        <v>0</v>
      </c>
      <c r="AY52" s="66">
        <f t="shared" si="20"/>
        <v>0</v>
      </c>
      <c r="AZ52" s="66">
        <f t="shared" si="20"/>
        <v>0.23158708245239581</v>
      </c>
      <c r="BA52" s="66">
        <f t="shared" si="20"/>
        <v>1</v>
      </c>
      <c r="BB52" s="66">
        <f t="shared" si="20"/>
        <v>0</v>
      </c>
      <c r="BC52" s="66">
        <f t="shared" si="20"/>
        <v>0</v>
      </c>
      <c r="BD52" s="66">
        <f t="shared" si="20"/>
        <v>0</v>
      </c>
      <c r="BE52" s="66">
        <f t="shared" si="20"/>
        <v>0</v>
      </c>
      <c r="BF52" s="66">
        <f t="shared" si="20"/>
        <v>0</v>
      </c>
      <c r="BG52" s="66">
        <f t="shared" si="20"/>
        <v>0</v>
      </c>
      <c r="BH52" s="66">
        <f t="shared" si="20"/>
        <v>0</v>
      </c>
      <c r="BI52" s="66">
        <f t="shared" si="20"/>
        <v>0</v>
      </c>
      <c r="BJ52" s="66">
        <f t="shared" si="20"/>
        <v>0</v>
      </c>
      <c r="BK52" s="66">
        <f t="shared" si="20"/>
        <v>0</v>
      </c>
      <c r="BL52" s="66">
        <f t="shared" si="20"/>
        <v>0</v>
      </c>
      <c r="BM52" s="66">
        <f t="shared" si="20"/>
        <v>0</v>
      </c>
      <c r="BN52" s="66">
        <f t="shared" si="20"/>
        <v>0</v>
      </c>
      <c r="BO52" s="66">
        <f t="shared" si="20"/>
        <v>0</v>
      </c>
      <c r="BP52" s="66">
        <f t="shared" si="20"/>
        <v>0</v>
      </c>
      <c r="BQ52" s="66">
        <f t="shared" ref="BQ52:CB52" si="21">IF(BQ50&lt;100%,0%,IF(BQ50&gt;120%,100%,(-100%+BQ50)/20*100))</f>
        <v>0</v>
      </c>
      <c r="BR52" s="66">
        <f t="shared" si="21"/>
        <v>0</v>
      </c>
      <c r="BS52" s="66">
        <f t="shared" si="21"/>
        <v>0</v>
      </c>
      <c r="BT52" s="66">
        <f t="shared" si="21"/>
        <v>0.42055405500201593</v>
      </c>
      <c r="BU52" s="66">
        <f t="shared" si="21"/>
        <v>1</v>
      </c>
      <c r="BV52" s="66">
        <f t="shared" si="21"/>
        <v>0.26161626132311988</v>
      </c>
      <c r="BW52" s="66">
        <f t="shared" si="21"/>
        <v>0</v>
      </c>
      <c r="BX52" s="66">
        <f t="shared" si="21"/>
        <v>0</v>
      </c>
      <c r="BY52" s="66">
        <f t="shared" si="21"/>
        <v>0</v>
      </c>
      <c r="BZ52" s="66">
        <f t="shared" si="21"/>
        <v>0</v>
      </c>
      <c r="CA52" s="66">
        <f t="shared" si="21"/>
        <v>0</v>
      </c>
      <c r="CB52" s="66">
        <f t="shared" si="21"/>
        <v>0.55210808935608147</v>
      </c>
    </row>
    <row r="53" spans="1:82" s="5" customFormat="1" x14ac:dyDescent="0.2">
      <c r="A53" s="4"/>
      <c r="B53" s="4" t="s">
        <v>163</v>
      </c>
      <c r="D53" s="5">
        <f t="shared" ref="D53:AI53" si="22">D46*-D52</f>
        <v>0</v>
      </c>
      <c r="E53" s="5">
        <f t="shared" si="22"/>
        <v>0</v>
      </c>
      <c r="F53" s="5">
        <f t="shared" si="22"/>
        <v>0</v>
      </c>
      <c r="G53" s="5">
        <f t="shared" si="22"/>
        <v>0</v>
      </c>
      <c r="H53" s="5">
        <f t="shared" si="22"/>
        <v>-92288.69735567944</v>
      </c>
      <c r="I53" s="5">
        <f t="shared" si="22"/>
        <v>0</v>
      </c>
      <c r="J53" s="5">
        <f t="shared" si="22"/>
        <v>0</v>
      </c>
      <c r="K53" s="5">
        <f t="shared" si="22"/>
        <v>0</v>
      </c>
      <c r="L53" s="5">
        <f t="shared" si="22"/>
        <v>-386559.10451220284</v>
      </c>
      <c r="M53" s="5">
        <f t="shared" si="22"/>
        <v>0</v>
      </c>
      <c r="N53" s="5">
        <f t="shared" si="22"/>
        <v>0</v>
      </c>
      <c r="O53" s="5">
        <f t="shared" si="22"/>
        <v>0</v>
      </c>
      <c r="P53" s="5">
        <f t="shared" si="22"/>
        <v>0</v>
      </c>
      <c r="Q53" s="5">
        <f t="shared" si="22"/>
        <v>0</v>
      </c>
      <c r="R53" s="5">
        <f t="shared" si="22"/>
        <v>0</v>
      </c>
      <c r="S53" s="5">
        <f t="shared" si="22"/>
        <v>0</v>
      </c>
      <c r="T53" s="5">
        <f t="shared" si="22"/>
        <v>0</v>
      </c>
      <c r="U53" s="5">
        <f t="shared" si="22"/>
        <v>-93910.227657342417</v>
      </c>
      <c r="V53" s="5">
        <f t="shared" si="22"/>
        <v>0</v>
      </c>
      <c r="W53" s="5">
        <f t="shared" si="22"/>
        <v>-96902.491735298987</v>
      </c>
      <c r="X53" s="5">
        <f t="shared" si="22"/>
        <v>-39721.045609033172</v>
      </c>
      <c r="Y53" s="5">
        <f t="shared" si="22"/>
        <v>0</v>
      </c>
      <c r="Z53" s="5">
        <f t="shared" si="22"/>
        <v>0</v>
      </c>
      <c r="AA53" s="5">
        <f t="shared" si="22"/>
        <v>0</v>
      </c>
      <c r="AB53" s="5">
        <f t="shared" si="22"/>
        <v>0</v>
      </c>
      <c r="AC53" s="5">
        <f t="shared" si="22"/>
        <v>0</v>
      </c>
      <c r="AD53" s="5">
        <f t="shared" si="22"/>
        <v>0</v>
      </c>
      <c r="AE53" s="5">
        <f t="shared" si="22"/>
        <v>0</v>
      </c>
      <c r="AF53" s="5">
        <f t="shared" si="22"/>
        <v>0</v>
      </c>
      <c r="AG53" s="5">
        <f t="shared" si="22"/>
        <v>0</v>
      </c>
      <c r="AH53" s="5">
        <f t="shared" si="22"/>
        <v>0</v>
      </c>
      <c r="AI53" s="5">
        <f t="shared" si="22"/>
        <v>0</v>
      </c>
      <c r="AJ53" s="5">
        <f t="shared" ref="AJ53:BO53" si="23">AJ46*-AJ52</f>
        <v>0</v>
      </c>
      <c r="AK53" s="5">
        <f t="shared" si="23"/>
        <v>0</v>
      </c>
      <c r="AL53" s="5">
        <f t="shared" si="23"/>
        <v>0</v>
      </c>
      <c r="AM53" s="5">
        <f t="shared" si="23"/>
        <v>0</v>
      </c>
      <c r="AN53" s="5">
        <f t="shared" si="23"/>
        <v>0</v>
      </c>
      <c r="AO53" s="5">
        <f t="shared" si="23"/>
        <v>0</v>
      </c>
      <c r="AP53" s="5">
        <f t="shared" si="23"/>
        <v>0</v>
      </c>
      <c r="AQ53" s="5">
        <f t="shared" si="23"/>
        <v>0</v>
      </c>
      <c r="AR53" s="5">
        <f t="shared" si="23"/>
        <v>0</v>
      </c>
      <c r="AS53" s="5">
        <f t="shared" si="23"/>
        <v>0</v>
      </c>
      <c r="AT53" s="5">
        <f t="shared" si="23"/>
        <v>0</v>
      </c>
      <c r="AU53" s="5">
        <f t="shared" si="23"/>
        <v>0</v>
      </c>
      <c r="AV53" s="5">
        <f t="shared" si="23"/>
        <v>0</v>
      </c>
      <c r="AW53" s="5">
        <f t="shared" si="23"/>
        <v>0</v>
      </c>
      <c r="AX53" s="5">
        <f t="shared" si="23"/>
        <v>0</v>
      </c>
      <c r="AY53" s="5">
        <f t="shared" si="23"/>
        <v>0</v>
      </c>
      <c r="AZ53" s="5">
        <f t="shared" si="23"/>
        <v>-6462.8813954213065</v>
      </c>
      <c r="BA53" s="5">
        <f t="shared" si="23"/>
        <v>0</v>
      </c>
      <c r="BB53" s="5">
        <f t="shared" si="23"/>
        <v>0</v>
      </c>
      <c r="BC53" s="5">
        <f t="shared" si="23"/>
        <v>0</v>
      </c>
      <c r="BD53" s="5">
        <f t="shared" si="23"/>
        <v>0</v>
      </c>
      <c r="BE53" s="5">
        <f t="shared" si="23"/>
        <v>0</v>
      </c>
      <c r="BF53" s="5">
        <f t="shared" si="23"/>
        <v>0</v>
      </c>
      <c r="BG53" s="5">
        <f t="shared" si="23"/>
        <v>0</v>
      </c>
      <c r="BH53" s="5">
        <f t="shared" si="23"/>
        <v>0</v>
      </c>
      <c r="BI53" s="5">
        <f t="shared" si="23"/>
        <v>0</v>
      </c>
      <c r="BJ53" s="5">
        <f t="shared" si="23"/>
        <v>0</v>
      </c>
      <c r="BK53" s="5">
        <f t="shared" si="23"/>
        <v>0</v>
      </c>
      <c r="BL53" s="5">
        <f t="shared" si="23"/>
        <v>0</v>
      </c>
      <c r="BM53" s="5">
        <f t="shared" si="23"/>
        <v>0</v>
      </c>
      <c r="BN53" s="5">
        <f t="shared" si="23"/>
        <v>0</v>
      </c>
      <c r="BO53" s="5">
        <f t="shared" si="23"/>
        <v>0</v>
      </c>
      <c r="BP53" s="5">
        <f t="shared" ref="BP53:CB53" si="24">BP46*-BP52</f>
        <v>0</v>
      </c>
      <c r="BQ53" s="5">
        <f t="shared" si="24"/>
        <v>0</v>
      </c>
      <c r="BR53" s="5">
        <f t="shared" si="24"/>
        <v>0</v>
      </c>
      <c r="BS53" s="5">
        <f t="shared" si="24"/>
        <v>0</v>
      </c>
      <c r="BT53" s="5">
        <f t="shared" si="24"/>
        <v>0</v>
      </c>
      <c r="BU53" s="5">
        <f t="shared" si="24"/>
        <v>0</v>
      </c>
      <c r="BV53" s="5">
        <f t="shared" si="24"/>
        <v>-103899.80779517448</v>
      </c>
      <c r="BW53" s="5">
        <f t="shared" si="24"/>
        <v>0</v>
      </c>
      <c r="BX53" s="5">
        <f t="shared" si="24"/>
        <v>0</v>
      </c>
      <c r="BY53" s="5">
        <f t="shared" si="24"/>
        <v>0</v>
      </c>
      <c r="BZ53" s="5">
        <f t="shared" si="24"/>
        <v>0</v>
      </c>
      <c r="CA53" s="5">
        <f t="shared" si="24"/>
        <v>0</v>
      </c>
      <c r="CB53" s="5">
        <f t="shared" si="24"/>
        <v>-109681.34575755977</v>
      </c>
      <c r="CC53" s="4"/>
      <c r="CD53" s="4"/>
    </row>
    <row r="54" spans="1:82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2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</row>
    <row r="56" spans="1:82" s="57" customFormat="1" ht="15.75" x14ac:dyDescent="0.25">
      <c r="A56" s="69" t="s">
        <v>104</v>
      </c>
      <c r="B56" s="69" t="s">
        <v>161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69"/>
      <c r="CD56" s="69"/>
    </row>
    <row r="57" spans="1:82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2" x14ac:dyDescent="0.2">
      <c r="B58" s="3" t="s">
        <v>144</v>
      </c>
      <c r="C58" s="5">
        <f>SUM(D58:CB58)</f>
        <v>21494460.363277435</v>
      </c>
      <c r="D58" s="5">
        <f t="shared" ref="D58:AI58" si="25">D36</f>
        <v>-4971838.3477678373</v>
      </c>
      <c r="E58" s="5">
        <f t="shared" si="25"/>
        <v>263595.21085557138</v>
      </c>
      <c r="F58" s="5">
        <f t="shared" si="25"/>
        <v>358276.67795220175</v>
      </c>
      <c r="G58" s="5">
        <f t="shared" si="25"/>
        <v>191498.06281360835</v>
      </c>
      <c r="H58" s="5">
        <f t="shared" si="25"/>
        <v>92175.4697264243</v>
      </c>
      <c r="I58" s="5">
        <f t="shared" si="25"/>
        <v>-242544.76970095176</v>
      </c>
      <c r="J58" s="5">
        <f t="shared" si="25"/>
        <v>-68312.362828657948</v>
      </c>
      <c r="K58" s="5">
        <f t="shared" si="25"/>
        <v>25550.677976971892</v>
      </c>
      <c r="L58" s="5">
        <f t="shared" si="25"/>
        <v>386559.10451220284</v>
      </c>
      <c r="M58" s="5">
        <f t="shared" si="25"/>
        <v>281051.42109758605</v>
      </c>
      <c r="N58" s="5">
        <f t="shared" si="25"/>
        <v>439751.57900444372</v>
      </c>
      <c r="O58" s="5">
        <f t="shared" si="25"/>
        <v>-433175.18950204551</v>
      </c>
      <c r="P58" s="5">
        <f t="shared" si="25"/>
        <v>-326141.91583746579</v>
      </c>
      <c r="Q58" s="5">
        <f t="shared" si="25"/>
        <v>-168073.74195853539</v>
      </c>
      <c r="R58" s="5">
        <f t="shared" si="25"/>
        <v>-256829.05448179325</v>
      </c>
      <c r="S58" s="5">
        <f t="shared" si="25"/>
        <v>7044.1139458790158</v>
      </c>
      <c r="T58" s="5">
        <f t="shared" si="25"/>
        <v>-234873.3072844391</v>
      </c>
      <c r="U58" s="5">
        <f t="shared" si="25"/>
        <v>107667.30294761766</v>
      </c>
      <c r="V58" s="5">
        <f t="shared" si="25"/>
        <v>-142549.79676120094</v>
      </c>
      <c r="W58" s="5">
        <f t="shared" si="25"/>
        <v>646461.00587248604</v>
      </c>
      <c r="X58" s="5">
        <f t="shared" si="25"/>
        <v>65576.075271491864</v>
      </c>
      <c r="Y58" s="5">
        <f t="shared" si="25"/>
        <v>-94975.499706724659</v>
      </c>
      <c r="Z58" s="5">
        <f t="shared" si="25"/>
        <v>277161.51331974182</v>
      </c>
      <c r="AA58" s="5">
        <f t="shared" si="25"/>
        <v>-35935.680305342241</v>
      </c>
      <c r="AB58" s="5">
        <f t="shared" si="25"/>
        <v>277934.03002887499</v>
      </c>
      <c r="AC58" s="5">
        <f t="shared" si="25"/>
        <v>1057796.3308316185</v>
      </c>
      <c r="AD58" s="5">
        <f t="shared" si="25"/>
        <v>464418.54216659162</v>
      </c>
      <c r="AE58" s="5">
        <f t="shared" si="25"/>
        <v>-123747.29926606336</v>
      </c>
      <c r="AF58" s="5">
        <f t="shared" si="25"/>
        <v>174401.4154690883</v>
      </c>
      <c r="AG58" s="5">
        <f t="shared" si="25"/>
        <v>1095198.421671726</v>
      </c>
      <c r="AH58" s="5">
        <f t="shared" si="25"/>
        <v>-187559.28655600763</v>
      </c>
      <c r="AI58" s="5">
        <f t="shared" si="25"/>
        <v>401470.97994335298</v>
      </c>
      <c r="AJ58" s="5">
        <f t="shared" ref="AJ58:BO58" si="26">AJ36</f>
        <v>960244.7257434536</v>
      </c>
      <c r="AK58" s="5">
        <f t="shared" si="26"/>
        <v>-21728.952726545966</v>
      </c>
      <c r="AL58" s="5">
        <f t="shared" si="26"/>
        <v>542109.60132970242</v>
      </c>
      <c r="AM58" s="5">
        <f t="shared" si="26"/>
        <v>-310282.61432615656</v>
      </c>
      <c r="AN58" s="5">
        <f t="shared" si="26"/>
        <v>131043.69266118838</v>
      </c>
      <c r="AO58" s="5">
        <f t="shared" si="26"/>
        <v>1397192.3143343057</v>
      </c>
      <c r="AP58" s="5">
        <f t="shared" si="26"/>
        <v>78014.288880640568</v>
      </c>
      <c r="AQ58" s="5">
        <f t="shared" si="26"/>
        <v>495273.99730032909</v>
      </c>
      <c r="AR58" s="5">
        <f t="shared" si="26"/>
        <v>-132885.59553674745</v>
      </c>
      <c r="AS58" s="5">
        <f t="shared" si="26"/>
        <v>-77412.072430954329</v>
      </c>
      <c r="AT58" s="5">
        <f t="shared" si="26"/>
        <v>-93663.284104303748</v>
      </c>
      <c r="AU58" s="5">
        <f t="shared" si="26"/>
        <v>574906.18624288635</v>
      </c>
      <c r="AV58" s="5">
        <f t="shared" si="26"/>
        <v>970326.86632874503</v>
      </c>
      <c r="AW58" s="5">
        <f t="shared" si="26"/>
        <v>534083.21506599092</v>
      </c>
      <c r="AX58" s="5">
        <f t="shared" si="26"/>
        <v>-29926.216642637024</v>
      </c>
      <c r="AY58" s="5">
        <f t="shared" si="26"/>
        <v>810580.37508770952</v>
      </c>
      <c r="AZ58" s="5">
        <f t="shared" si="26"/>
        <v>27906.916599071508</v>
      </c>
      <c r="BA58" s="5">
        <f t="shared" si="26"/>
        <v>-1156373.0907733792</v>
      </c>
      <c r="BB58" s="5">
        <f t="shared" si="26"/>
        <v>1089018.4149494073</v>
      </c>
      <c r="BC58" s="5">
        <f t="shared" si="26"/>
        <v>367883.32597967127</v>
      </c>
      <c r="BD58" s="5">
        <f t="shared" si="26"/>
        <v>-34347.794843000469</v>
      </c>
      <c r="BE58" s="5">
        <f t="shared" si="26"/>
        <v>376307.665107971</v>
      </c>
      <c r="BF58" s="5">
        <f t="shared" si="26"/>
        <v>-46277.954998190995</v>
      </c>
      <c r="BG58" s="5">
        <f t="shared" si="26"/>
        <v>-71211.032120126751</v>
      </c>
      <c r="BH58" s="5">
        <f t="shared" si="26"/>
        <v>361154.34027242393</v>
      </c>
      <c r="BI58" s="5">
        <f t="shared" si="26"/>
        <v>306604.20352456108</v>
      </c>
      <c r="BJ58" s="5">
        <f t="shared" si="26"/>
        <v>599639.62530877942</v>
      </c>
      <c r="BK58" s="5">
        <f t="shared" si="26"/>
        <v>768360.34903581056</v>
      </c>
      <c r="BL58" s="5">
        <f t="shared" si="26"/>
        <v>536820.67901855265</v>
      </c>
      <c r="BM58" s="5">
        <f t="shared" si="26"/>
        <v>1302178.1365936368</v>
      </c>
      <c r="BN58" s="5">
        <f t="shared" si="26"/>
        <v>2849638.080968237</v>
      </c>
      <c r="BO58" s="5">
        <f t="shared" si="26"/>
        <v>1322782.8475510702</v>
      </c>
      <c r="BP58" s="5">
        <f t="shared" ref="BP58:CB58" si="27">BP36</f>
        <v>649998.93951774307</v>
      </c>
      <c r="BQ58" s="5">
        <f t="shared" si="27"/>
        <v>1257290.7601264331</v>
      </c>
      <c r="BR58" s="5">
        <f t="shared" si="27"/>
        <v>1264266.7618538872</v>
      </c>
      <c r="BS58" s="5">
        <f t="shared" si="27"/>
        <v>929290.62188532564</v>
      </c>
      <c r="BT58" s="5">
        <f t="shared" si="27"/>
        <v>-611384.46087406925</v>
      </c>
      <c r="BU58" s="5">
        <f t="shared" si="27"/>
        <v>-16633.362883047354</v>
      </c>
      <c r="BV58" s="5">
        <f t="shared" si="27"/>
        <v>397145.83210425428</v>
      </c>
      <c r="BW58" s="5">
        <f t="shared" si="27"/>
        <v>524818.22119768383</v>
      </c>
      <c r="BX58" s="5">
        <f t="shared" si="27"/>
        <v>1149022.099801501</v>
      </c>
      <c r="BY58" s="5">
        <f t="shared" si="27"/>
        <v>-541140.31696936977</v>
      </c>
      <c r="BZ58" s="5">
        <f t="shared" si="27"/>
        <v>966852.67536212003</v>
      </c>
      <c r="CA58" s="5">
        <f t="shared" si="27"/>
        <v>1587527.0203034619</v>
      </c>
      <c r="CB58" s="5">
        <f t="shared" si="27"/>
        <v>182412.64901899314</v>
      </c>
    </row>
    <row r="59" spans="1:82" x14ac:dyDescent="0.2">
      <c r="B59" s="3" t="s">
        <v>140</v>
      </c>
      <c r="C59" s="5">
        <f t="shared" ref="C59:C65" si="28">SUM(D59:CB59)</f>
        <v>1147180.7052203298</v>
      </c>
      <c r="D59" s="5">
        <f t="shared" ref="D59:AI59" si="29">D44</f>
        <v>0</v>
      </c>
      <c r="E59" s="5">
        <f t="shared" si="29"/>
        <v>96585.015683310703</v>
      </c>
      <c r="F59" s="5">
        <f t="shared" si="29"/>
        <v>0</v>
      </c>
      <c r="G59" s="5">
        <f t="shared" si="29"/>
        <v>0</v>
      </c>
      <c r="H59" s="5">
        <f t="shared" si="29"/>
        <v>113.22762925514621</v>
      </c>
      <c r="I59" s="5">
        <f t="shared" si="29"/>
        <v>64777.095513515851</v>
      </c>
      <c r="J59" s="5">
        <f t="shared" si="29"/>
        <v>1088.9899634643525</v>
      </c>
      <c r="K59" s="5">
        <f t="shared" si="29"/>
        <v>0</v>
      </c>
      <c r="L59" s="5">
        <f t="shared" si="29"/>
        <v>0</v>
      </c>
      <c r="M59" s="5">
        <f t="shared" si="29"/>
        <v>1037.0519683436005</v>
      </c>
      <c r="N59" s="5">
        <f t="shared" si="29"/>
        <v>33003.838005693768</v>
      </c>
      <c r="O59" s="5">
        <f t="shared" si="29"/>
        <v>13238.448977354166</v>
      </c>
      <c r="P59" s="5">
        <f t="shared" si="29"/>
        <v>66065.10179467198</v>
      </c>
      <c r="Q59" s="5">
        <f t="shared" si="29"/>
        <v>0</v>
      </c>
      <c r="R59" s="5">
        <f t="shared" si="29"/>
        <v>19487.191767142969</v>
      </c>
      <c r="S59" s="5">
        <f t="shared" si="29"/>
        <v>0</v>
      </c>
      <c r="T59" s="5">
        <f t="shared" si="29"/>
        <v>26355.438643207613</v>
      </c>
      <c r="U59" s="5">
        <f t="shared" si="29"/>
        <v>30437.989051052013</v>
      </c>
      <c r="V59" s="5">
        <f t="shared" si="29"/>
        <v>0</v>
      </c>
      <c r="W59" s="5">
        <f t="shared" si="29"/>
        <v>0</v>
      </c>
      <c r="X59" s="5">
        <f t="shared" si="29"/>
        <v>0</v>
      </c>
      <c r="Y59" s="5">
        <f t="shared" si="29"/>
        <v>25937.386780594199</v>
      </c>
      <c r="Z59" s="5">
        <f t="shared" si="29"/>
        <v>0</v>
      </c>
      <c r="AA59" s="5">
        <f t="shared" si="29"/>
        <v>0</v>
      </c>
      <c r="AB59" s="5">
        <f t="shared" si="29"/>
        <v>0</v>
      </c>
      <c r="AC59" s="5">
        <f t="shared" si="29"/>
        <v>0</v>
      </c>
      <c r="AD59" s="5">
        <f t="shared" si="29"/>
        <v>0</v>
      </c>
      <c r="AE59" s="5">
        <f t="shared" si="29"/>
        <v>0</v>
      </c>
      <c r="AF59" s="5">
        <f t="shared" si="29"/>
        <v>0</v>
      </c>
      <c r="AG59" s="5">
        <f t="shared" si="29"/>
        <v>0</v>
      </c>
      <c r="AH59" s="5">
        <f t="shared" si="29"/>
        <v>0</v>
      </c>
      <c r="AI59" s="5">
        <f t="shared" si="29"/>
        <v>7488.0589504516965</v>
      </c>
      <c r="AJ59" s="5">
        <f t="shared" ref="AJ59:BO59" si="30">AJ44</f>
        <v>0</v>
      </c>
      <c r="AK59" s="5">
        <f t="shared" si="30"/>
        <v>36305.470558059591</v>
      </c>
      <c r="AL59" s="5">
        <f t="shared" si="30"/>
        <v>26237.535194445649</v>
      </c>
      <c r="AM59" s="5">
        <f t="shared" si="30"/>
        <v>0</v>
      </c>
      <c r="AN59" s="5">
        <f t="shared" si="30"/>
        <v>0</v>
      </c>
      <c r="AO59" s="5">
        <f t="shared" si="30"/>
        <v>0</v>
      </c>
      <c r="AP59" s="5">
        <f t="shared" si="30"/>
        <v>0</v>
      </c>
      <c r="AQ59" s="5">
        <f t="shared" si="30"/>
        <v>0</v>
      </c>
      <c r="AR59" s="5">
        <f t="shared" si="30"/>
        <v>0</v>
      </c>
      <c r="AS59" s="5">
        <f t="shared" si="30"/>
        <v>0</v>
      </c>
      <c r="AT59" s="5">
        <f t="shared" si="30"/>
        <v>0</v>
      </c>
      <c r="AU59" s="5">
        <f t="shared" si="30"/>
        <v>31608.903852103056</v>
      </c>
      <c r="AV59" s="5">
        <f t="shared" si="30"/>
        <v>41905.534387763495</v>
      </c>
      <c r="AW59" s="5">
        <f t="shared" si="30"/>
        <v>0</v>
      </c>
      <c r="AX59" s="5">
        <f t="shared" si="30"/>
        <v>0</v>
      </c>
      <c r="AY59" s="5">
        <f t="shared" si="30"/>
        <v>66415.564266330402</v>
      </c>
      <c r="AZ59" s="5">
        <f t="shared" si="30"/>
        <v>0</v>
      </c>
      <c r="BA59" s="5">
        <f t="shared" si="30"/>
        <v>0</v>
      </c>
      <c r="BB59" s="5">
        <f t="shared" si="30"/>
        <v>0</v>
      </c>
      <c r="BC59" s="5">
        <f t="shared" si="30"/>
        <v>0</v>
      </c>
      <c r="BD59" s="5">
        <f t="shared" si="30"/>
        <v>23768.450504567933</v>
      </c>
      <c r="BE59" s="5">
        <f t="shared" si="30"/>
        <v>38254.251332396118</v>
      </c>
      <c r="BF59" s="5">
        <f t="shared" si="30"/>
        <v>43526.923799864519</v>
      </c>
      <c r="BG59" s="5">
        <f t="shared" si="30"/>
        <v>0</v>
      </c>
      <c r="BH59" s="5">
        <f t="shared" si="30"/>
        <v>4186.4263980858914</v>
      </c>
      <c r="BI59" s="5">
        <f t="shared" si="30"/>
        <v>49780.342409160156</v>
      </c>
      <c r="BJ59" s="5">
        <f t="shared" si="30"/>
        <v>3847.247490866087</v>
      </c>
      <c r="BK59" s="5">
        <f t="shared" si="30"/>
        <v>0</v>
      </c>
      <c r="BL59" s="5">
        <f t="shared" si="30"/>
        <v>61608.513825200593</v>
      </c>
      <c r="BM59" s="5">
        <f t="shared" si="30"/>
        <v>0</v>
      </c>
      <c r="BN59" s="5">
        <f t="shared" si="30"/>
        <v>108411.25517392617</v>
      </c>
      <c r="BO59" s="5">
        <f t="shared" si="30"/>
        <v>0</v>
      </c>
      <c r="BP59" s="5">
        <f t="shared" ref="BP59:CB59" si="31">BP44</f>
        <v>39493.875481170231</v>
      </c>
      <c r="BQ59" s="5">
        <f t="shared" si="31"/>
        <v>72684.326283349059</v>
      </c>
      <c r="BR59" s="5">
        <f t="shared" si="31"/>
        <v>46803.553317382422</v>
      </c>
      <c r="BS59" s="5">
        <f t="shared" si="31"/>
        <v>0</v>
      </c>
      <c r="BT59" s="5">
        <f t="shared" si="31"/>
        <v>50481.155356800198</v>
      </c>
      <c r="BU59" s="5">
        <f t="shared" si="31"/>
        <v>0</v>
      </c>
      <c r="BV59" s="5">
        <f t="shared" si="31"/>
        <v>0</v>
      </c>
      <c r="BW59" s="5">
        <f t="shared" si="31"/>
        <v>0</v>
      </c>
      <c r="BX59" s="5">
        <f t="shared" si="31"/>
        <v>0</v>
      </c>
      <c r="BY59" s="5">
        <f t="shared" si="31"/>
        <v>0</v>
      </c>
      <c r="BZ59" s="5">
        <f t="shared" si="31"/>
        <v>0</v>
      </c>
      <c r="CA59" s="5">
        <f t="shared" si="31"/>
        <v>0</v>
      </c>
      <c r="CB59" s="5">
        <f t="shared" si="31"/>
        <v>16246.540860800333</v>
      </c>
    </row>
    <row r="60" spans="1:82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1:82" s="32" customFormat="1" x14ac:dyDescent="0.2">
      <c r="A61" s="21"/>
      <c r="B61" s="32" t="s">
        <v>155</v>
      </c>
      <c r="C61" s="15">
        <f t="shared" si="28"/>
        <v>32715008.933855627</v>
      </c>
      <c r="D61" s="15">
        <f t="shared" ref="D61:AI61" si="32">D46</f>
        <v>0</v>
      </c>
      <c r="E61" s="15">
        <f t="shared" si="32"/>
        <v>360180.22653888207</v>
      </c>
      <c r="F61" s="15">
        <f t="shared" si="32"/>
        <v>358276.67795220175</v>
      </c>
      <c r="G61" s="15">
        <f t="shared" si="32"/>
        <v>191498.06281360835</v>
      </c>
      <c r="H61" s="15">
        <f t="shared" si="32"/>
        <v>92288.69735567944</v>
      </c>
      <c r="I61" s="15">
        <f t="shared" si="32"/>
        <v>0</v>
      </c>
      <c r="J61" s="15">
        <f t="shared" si="32"/>
        <v>0</v>
      </c>
      <c r="K61" s="15">
        <f t="shared" si="32"/>
        <v>25550.677976971892</v>
      </c>
      <c r="L61" s="15">
        <f t="shared" si="32"/>
        <v>386559.10451220284</v>
      </c>
      <c r="M61" s="15">
        <f t="shared" si="32"/>
        <v>282088.47306592966</v>
      </c>
      <c r="N61" s="15">
        <f t="shared" si="32"/>
        <v>472755.41701013746</v>
      </c>
      <c r="O61" s="15">
        <f t="shared" si="32"/>
        <v>0</v>
      </c>
      <c r="P61" s="15">
        <f t="shared" si="32"/>
        <v>0</v>
      </c>
      <c r="Q61" s="15">
        <f t="shared" si="32"/>
        <v>0</v>
      </c>
      <c r="R61" s="15">
        <f t="shared" si="32"/>
        <v>0</v>
      </c>
      <c r="S61" s="15">
        <f t="shared" si="32"/>
        <v>7044.1139458790158</v>
      </c>
      <c r="T61" s="15">
        <f t="shared" si="32"/>
        <v>0</v>
      </c>
      <c r="U61" s="15">
        <f t="shared" si="32"/>
        <v>138105.29199866968</v>
      </c>
      <c r="V61" s="15">
        <f t="shared" si="32"/>
        <v>0</v>
      </c>
      <c r="W61" s="15">
        <f t="shared" si="32"/>
        <v>646461.00587248604</v>
      </c>
      <c r="X61" s="15">
        <f t="shared" si="32"/>
        <v>65576.075271491864</v>
      </c>
      <c r="Y61" s="15">
        <f t="shared" si="32"/>
        <v>0</v>
      </c>
      <c r="Z61" s="15">
        <f t="shared" si="32"/>
        <v>277161.51331974182</v>
      </c>
      <c r="AA61" s="15">
        <f t="shared" si="32"/>
        <v>0</v>
      </c>
      <c r="AB61" s="15">
        <f t="shared" si="32"/>
        <v>277934.03002887499</v>
      </c>
      <c r="AC61" s="15">
        <f t="shared" si="32"/>
        <v>1057796.3308316185</v>
      </c>
      <c r="AD61" s="15">
        <f t="shared" si="32"/>
        <v>464418.54216659162</v>
      </c>
      <c r="AE61" s="15">
        <f t="shared" si="32"/>
        <v>0</v>
      </c>
      <c r="AF61" s="15">
        <f t="shared" si="32"/>
        <v>174401.4154690883</v>
      </c>
      <c r="AG61" s="15">
        <f t="shared" si="32"/>
        <v>1095198.421671726</v>
      </c>
      <c r="AH61" s="15">
        <f t="shared" si="32"/>
        <v>0</v>
      </c>
      <c r="AI61" s="15">
        <f t="shared" si="32"/>
        <v>408959.03889380465</v>
      </c>
      <c r="AJ61" s="15">
        <f t="shared" ref="AJ61:BO61" si="33">AJ46</f>
        <v>960244.7257434536</v>
      </c>
      <c r="AK61" s="15">
        <f t="shared" si="33"/>
        <v>14576.517831513625</v>
      </c>
      <c r="AL61" s="15">
        <f t="shared" si="33"/>
        <v>568347.13652414805</v>
      </c>
      <c r="AM61" s="15">
        <f t="shared" si="33"/>
        <v>0</v>
      </c>
      <c r="AN61" s="15">
        <f t="shared" si="33"/>
        <v>131043.69266118838</v>
      </c>
      <c r="AO61" s="15">
        <f t="shared" si="33"/>
        <v>1397192.3143343057</v>
      </c>
      <c r="AP61" s="15">
        <f t="shared" si="33"/>
        <v>78014.288880640568</v>
      </c>
      <c r="AQ61" s="15">
        <f t="shared" si="33"/>
        <v>495273.99730032909</v>
      </c>
      <c r="AR61" s="15">
        <f t="shared" si="33"/>
        <v>0</v>
      </c>
      <c r="AS61" s="15">
        <f t="shared" si="33"/>
        <v>0</v>
      </c>
      <c r="AT61" s="15">
        <f t="shared" si="33"/>
        <v>0</v>
      </c>
      <c r="AU61" s="15">
        <f t="shared" si="33"/>
        <v>606515.0900949894</v>
      </c>
      <c r="AV61" s="15">
        <f t="shared" si="33"/>
        <v>1012232.4007165085</v>
      </c>
      <c r="AW61" s="15">
        <f t="shared" si="33"/>
        <v>534083.21506599092</v>
      </c>
      <c r="AX61" s="15">
        <f t="shared" si="33"/>
        <v>0</v>
      </c>
      <c r="AY61" s="15">
        <f t="shared" si="33"/>
        <v>876995.93935403996</v>
      </c>
      <c r="AZ61" s="15">
        <f t="shared" si="33"/>
        <v>27906.916599071508</v>
      </c>
      <c r="BA61" s="15">
        <f t="shared" si="33"/>
        <v>0</v>
      </c>
      <c r="BB61" s="15">
        <f t="shared" si="33"/>
        <v>1089018.4149494073</v>
      </c>
      <c r="BC61" s="15">
        <f t="shared" si="33"/>
        <v>367883.32597967127</v>
      </c>
      <c r="BD61" s="15">
        <f t="shared" si="33"/>
        <v>0</v>
      </c>
      <c r="BE61" s="15">
        <f t="shared" si="33"/>
        <v>414561.91644036712</v>
      </c>
      <c r="BF61" s="15">
        <f t="shared" si="33"/>
        <v>0</v>
      </c>
      <c r="BG61" s="15">
        <f t="shared" si="33"/>
        <v>0</v>
      </c>
      <c r="BH61" s="15">
        <f t="shared" si="33"/>
        <v>365340.76667050982</v>
      </c>
      <c r="BI61" s="15">
        <f t="shared" si="33"/>
        <v>356384.54593372124</v>
      </c>
      <c r="BJ61" s="15">
        <f t="shared" si="33"/>
        <v>603486.87279964553</v>
      </c>
      <c r="BK61" s="15">
        <f t="shared" si="33"/>
        <v>768360.34903581056</v>
      </c>
      <c r="BL61" s="15">
        <f t="shared" si="33"/>
        <v>598429.19284375326</v>
      </c>
      <c r="BM61" s="15">
        <f t="shared" si="33"/>
        <v>1302178.1365936368</v>
      </c>
      <c r="BN61" s="15">
        <f t="shared" si="33"/>
        <v>2958049.3361421633</v>
      </c>
      <c r="BO61" s="15">
        <f t="shared" si="33"/>
        <v>1322782.8475510702</v>
      </c>
      <c r="BP61" s="15">
        <f t="shared" ref="BP61:CB61" si="34">BP46</f>
        <v>689492.81499891332</v>
      </c>
      <c r="BQ61" s="15">
        <f t="shared" si="34"/>
        <v>1329975.0864097821</v>
      </c>
      <c r="BR61" s="15">
        <f t="shared" si="34"/>
        <v>1311070.3151712697</v>
      </c>
      <c r="BS61" s="15">
        <f t="shared" si="34"/>
        <v>929290.62188532564</v>
      </c>
      <c r="BT61" s="15">
        <f t="shared" si="34"/>
        <v>0</v>
      </c>
      <c r="BU61" s="15">
        <f t="shared" si="34"/>
        <v>0</v>
      </c>
      <c r="BV61" s="15">
        <f t="shared" si="34"/>
        <v>397145.83210425428</v>
      </c>
      <c r="BW61" s="15">
        <f t="shared" si="34"/>
        <v>524818.22119768383</v>
      </c>
      <c r="BX61" s="15">
        <f t="shared" si="34"/>
        <v>1149022.099801501</v>
      </c>
      <c r="BY61" s="15">
        <f t="shared" si="34"/>
        <v>0</v>
      </c>
      <c r="BZ61" s="15">
        <f t="shared" si="34"/>
        <v>966852.67536212003</v>
      </c>
      <c r="CA61" s="15">
        <f t="shared" si="34"/>
        <v>1587527.0203034619</v>
      </c>
      <c r="CB61" s="15">
        <f t="shared" si="34"/>
        <v>198659.18987979347</v>
      </c>
      <c r="CC61" s="21"/>
      <c r="CD61" s="21"/>
    </row>
    <row r="62" spans="1:82" s="32" customFormat="1" x14ac:dyDescent="0.2">
      <c r="A62" s="21"/>
      <c r="C62" s="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21"/>
      <c r="CD62" s="21"/>
    </row>
    <row r="63" spans="1:82" x14ac:dyDescent="0.2">
      <c r="B63" s="38" t="s">
        <v>156</v>
      </c>
      <c r="C63" s="5">
        <f t="shared" si="28"/>
        <v>-929425.60181771254</v>
      </c>
      <c r="D63" s="5">
        <f>D53</f>
        <v>0</v>
      </c>
      <c r="E63" s="5">
        <f t="shared" ref="E63:BP63" si="35">E53</f>
        <v>0</v>
      </c>
      <c r="F63" s="5">
        <f t="shared" si="35"/>
        <v>0</v>
      </c>
      <c r="G63" s="5">
        <f t="shared" si="35"/>
        <v>0</v>
      </c>
      <c r="H63" s="5">
        <f t="shared" si="35"/>
        <v>-92288.69735567944</v>
      </c>
      <c r="I63" s="5">
        <f t="shared" si="35"/>
        <v>0</v>
      </c>
      <c r="J63" s="5">
        <f t="shared" si="35"/>
        <v>0</v>
      </c>
      <c r="K63" s="5">
        <f t="shared" si="35"/>
        <v>0</v>
      </c>
      <c r="L63" s="5">
        <f t="shared" si="35"/>
        <v>-386559.10451220284</v>
      </c>
      <c r="M63" s="5">
        <f t="shared" si="35"/>
        <v>0</v>
      </c>
      <c r="N63" s="5">
        <f t="shared" si="35"/>
        <v>0</v>
      </c>
      <c r="O63" s="5">
        <f t="shared" si="35"/>
        <v>0</v>
      </c>
      <c r="P63" s="5">
        <f t="shared" si="35"/>
        <v>0</v>
      </c>
      <c r="Q63" s="5">
        <f t="shared" si="35"/>
        <v>0</v>
      </c>
      <c r="R63" s="5">
        <f t="shared" si="35"/>
        <v>0</v>
      </c>
      <c r="S63" s="5">
        <f t="shared" si="35"/>
        <v>0</v>
      </c>
      <c r="T63" s="5">
        <f t="shared" si="35"/>
        <v>0</v>
      </c>
      <c r="U63" s="5">
        <f t="shared" si="35"/>
        <v>-93910.227657342417</v>
      </c>
      <c r="V63" s="5">
        <f t="shared" si="35"/>
        <v>0</v>
      </c>
      <c r="W63" s="5">
        <f t="shared" si="35"/>
        <v>-96902.491735298987</v>
      </c>
      <c r="X63" s="5">
        <f t="shared" si="35"/>
        <v>-39721.045609033172</v>
      </c>
      <c r="Y63" s="5">
        <f t="shared" si="35"/>
        <v>0</v>
      </c>
      <c r="Z63" s="5">
        <f t="shared" si="35"/>
        <v>0</v>
      </c>
      <c r="AA63" s="5">
        <f t="shared" si="35"/>
        <v>0</v>
      </c>
      <c r="AB63" s="5">
        <f t="shared" si="35"/>
        <v>0</v>
      </c>
      <c r="AC63" s="5">
        <f t="shared" si="35"/>
        <v>0</v>
      </c>
      <c r="AD63" s="5">
        <f t="shared" si="35"/>
        <v>0</v>
      </c>
      <c r="AE63" s="5">
        <f t="shared" si="35"/>
        <v>0</v>
      </c>
      <c r="AF63" s="5">
        <f t="shared" si="35"/>
        <v>0</v>
      </c>
      <c r="AG63" s="5">
        <f t="shared" si="35"/>
        <v>0</v>
      </c>
      <c r="AH63" s="5">
        <f t="shared" si="35"/>
        <v>0</v>
      </c>
      <c r="AI63" s="5">
        <f t="shared" si="35"/>
        <v>0</v>
      </c>
      <c r="AJ63" s="5">
        <f t="shared" si="35"/>
        <v>0</v>
      </c>
      <c r="AK63" s="5">
        <f t="shared" si="35"/>
        <v>0</v>
      </c>
      <c r="AL63" s="5">
        <f t="shared" si="35"/>
        <v>0</v>
      </c>
      <c r="AM63" s="5">
        <f t="shared" si="35"/>
        <v>0</v>
      </c>
      <c r="AN63" s="5">
        <f t="shared" si="35"/>
        <v>0</v>
      </c>
      <c r="AO63" s="5">
        <f t="shared" si="35"/>
        <v>0</v>
      </c>
      <c r="AP63" s="5">
        <f t="shared" si="35"/>
        <v>0</v>
      </c>
      <c r="AQ63" s="5">
        <f t="shared" si="35"/>
        <v>0</v>
      </c>
      <c r="AR63" s="5">
        <f t="shared" si="35"/>
        <v>0</v>
      </c>
      <c r="AS63" s="5">
        <f t="shared" si="35"/>
        <v>0</v>
      </c>
      <c r="AT63" s="5">
        <f t="shared" si="35"/>
        <v>0</v>
      </c>
      <c r="AU63" s="5">
        <f t="shared" si="35"/>
        <v>0</v>
      </c>
      <c r="AV63" s="5">
        <f t="shared" si="35"/>
        <v>0</v>
      </c>
      <c r="AW63" s="5">
        <f t="shared" si="35"/>
        <v>0</v>
      </c>
      <c r="AX63" s="5">
        <f t="shared" si="35"/>
        <v>0</v>
      </c>
      <c r="AY63" s="5">
        <f t="shared" si="35"/>
        <v>0</v>
      </c>
      <c r="AZ63" s="5">
        <f t="shared" si="35"/>
        <v>-6462.8813954213065</v>
      </c>
      <c r="BA63" s="5">
        <f t="shared" si="35"/>
        <v>0</v>
      </c>
      <c r="BB63" s="5">
        <f t="shared" si="35"/>
        <v>0</v>
      </c>
      <c r="BC63" s="5">
        <f t="shared" si="35"/>
        <v>0</v>
      </c>
      <c r="BD63" s="5">
        <f t="shared" si="35"/>
        <v>0</v>
      </c>
      <c r="BE63" s="5">
        <f t="shared" si="35"/>
        <v>0</v>
      </c>
      <c r="BF63" s="5">
        <f t="shared" si="35"/>
        <v>0</v>
      </c>
      <c r="BG63" s="5">
        <f t="shared" si="35"/>
        <v>0</v>
      </c>
      <c r="BH63" s="5">
        <f t="shared" si="35"/>
        <v>0</v>
      </c>
      <c r="BI63" s="5">
        <f t="shared" si="35"/>
        <v>0</v>
      </c>
      <c r="BJ63" s="5">
        <f t="shared" si="35"/>
        <v>0</v>
      </c>
      <c r="BK63" s="5">
        <f t="shared" si="35"/>
        <v>0</v>
      </c>
      <c r="BL63" s="5">
        <f t="shared" si="35"/>
        <v>0</v>
      </c>
      <c r="BM63" s="5">
        <f t="shared" si="35"/>
        <v>0</v>
      </c>
      <c r="BN63" s="5">
        <f t="shared" si="35"/>
        <v>0</v>
      </c>
      <c r="BO63" s="5">
        <f t="shared" si="35"/>
        <v>0</v>
      </c>
      <c r="BP63" s="5">
        <f t="shared" si="35"/>
        <v>0</v>
      </c>
      <c r="BQ63" s="5">
        <f t="shared" ref="BQ63:CB63" si="36">BQ53</f>
        <v>0</v>
      </c>
      <c r="BR63" s="5">
        <f t="shared" si="36"/>
        <v>0</v>
      </c>
      <c r="BS63" s="5">
        <f t="shared" si="36"/>
        <v>0</v>
      </c>
      <c r="BT63" s="5">
        <f t="shared" si="36"/>
        <v>0</v>
      </c>
      <c r="BU63" s="5">
        <f t="shared" si="36"/>
        <v>0</v>
      </c>
      <c r="BV63" s="5">
        <f t="shared" si="36"/>
        <v>-103899.80779517448</v>
      </c>
      <c r="BW63" s="5">
        <f t="shared" si="36"/>
        <v>0</v>
      </c>
      <c r="BX63" s="5">
        <f t="shared" si="36"/>
        <v>0</v>
      </c>
      <c r="BY63" s="5">
        <f t="shared" si="36"/>
        <v>0</v>
      </c>
      <c r="BZ63" s="5">
        <f t="shared" si="36"/>
        <v>0</v>
      </c>
      <c r="CA63" s="5">
        <f t="shared" si="36"/>
        <v>0</v>
      </c>
      <c r="CB63" s="5">
        <f t="shared" si="36"/>
        <v>-109681.34575755977</v>
      </c>
    </row>
    <row r="64" spans="1:82" x14ac:dyDescent="0.2">
      <c r="B64" s="3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2:80" s="32" customFormat="1" x14ac:dyDescent="0.2">
      <c r="B65" s="159" t="s">
        <v>162</v>
      </c>
      <c r="C65" s="160">
        <f t="shared" si="28"/>
        <v>31785700</v>
      </c>
      <c r="D65" s="160">
        <f>ROUND(D61+D63,-2)</f>
        <v>0</v>
      </c>
      <c r="E65" s="160">
        <f t="shared" ref="E65:BP65" si="37">ROUND(E61+E63,-2)</f>
        <v>360200</v>
      </c>
      <c r="F65" s="160">
        <f t="shared" si="37"/>
        <v>358300</v>
      </c>
      <c r="G65" s="160">
        <f t="shared" si="37"/>
        <v>191500</v>
      </c>
      <c r="H65" s="160">
        <f t="shared" si="37"/>
        <v>0</v>
      </c>
      <c r="I65" s="160">
        <f t="shared" si="37"/>
        <v>0</v>
      </c>
      <c r="J65" s="160">
        <f t="shared" si="37"/>
        <v>0</v>
      </c>
      <c r="K65" s="160">
        <f t="shared" si="37"/>
        <v>25600</v>
      </c>
      <c r="L65" s="160">
        <f t="shared" si="37"/>
        <v>0</v>
      </c>
      <c r="M65" s="160">
        <f t="shared" si="37"/>
        <v>282100</v>
      </c>
      <c r="N65" s="160">
        <f t="shared" si="37"/>
        <v>472800</v>
      </c>
      <c r="O65" s="160">
        <f t="shared" si="37"/>
        <v>0</v>
      </c>
      <c r="P65" s="160">
        <f t="shared" si="37"/>
        <v>0</v>
      </c>
      <c r="Q65" s="160">
        <f t="shared" si="37"/>
        <v>0</v>
      </c>
      <c r="R65" s="160">
        <f t="shared" si="37"/>
        <v>0</v>
      </c>
      <c r="S65" s="160">
        <f t="shared" si="37"/>
        <v>7000</v>
      </c>
      <c r="T65" s="160">
        <f t="shared" si="37"/>
        <v>0</v>
      </c>
      <c r="U65" s="160">
        <f t="shared" si="37"/>
        <v>44200</v>
      </c>
      <c r="V65" s="160">
        <f t="shared" si="37"/>
        <v>0</v>
      </c>
      <c r="W65" s="160">
        <f t="shared" si="37"/>
        <v>549600</v>
      </c>
      <c r="X65" s="160">
        <f t="shared" si="37"/>
        <v>25900</v>
      </c>
      <c r="Y65" s="160">
        <f t="shared" si="37"/>
        <v>0</v>
      </c>
      <c r="Z65" s="160">
        <f t="shared" si="37"/>
        <v>277200</v>
      </c>
      <c r="AA65" s="160">
        <f t="shared" si="37"/>
        <v>0</v>
      </c>
      <c r="AB65" s="160">
        <f t="shared" si="37"/>
        <v>277900</v>
      </c>
      <c r="AC65" s="160">
        <f t="shared" si="37"/>
        <v>1057800</v>
      </c>
      <c r="AD65" s="160">
        <f t="shared" si="37"/>
        <v>464400</v>
      </c>
      <c r="AE65" s="160">
        <f t="shared" si="37"/>
        <v>0</v>
      </c>
      <c r="AF65" s="160">
        <f t="shared" si="37"/>
        <v>174400</v>
      </c>
      <c r="AG65" s="160">
        <f t="shared" si="37"/>
        <v>1095200</v>
      </c>
      <c r="AH65" s="160">
        <f t="shared" si="37"/>
        <v>0</v>
      </c>
      <c r="AI65" s="160">
        <f t="shared" si="37"/>
        <v>409000</v>
      </c>
      <c r="AJ65" s="160">
        <f t="shared" si="37"/>
        <v>960200</v>
      </c>
      <c r="AK65" s="160">
        <f t="shared" si="37"/>
        <v>14600</v>
      </c>
      <c r="AL65" s="160">
        <f t="shared" si="37"/>
        <v>568300</v>
      </c>
      <c r="AM65" s="160">
        <f t="shared" si="37"/>
        <v>0</v>
      </c>
      <c r="AN65" s="160">
        <f t="shared" si="37"/>
        <v>131000</v>
      </c>
      <c r="AO65" s="160">
        <f t="shared" si="37"/>
        <v>1397200</v>
      </c>
      <c r="AP65" s="160">
        <f t="shared" si="37"/>
        <v>78000</v>
      </c>
      <c r="AQ65" s="160">
        <f t="shared" si="37"/>
        <v>495300</v>
      </c>
      <c r="AR65" s="160">
        <f t="shared" si="37"/>
        <v>0</v>
      </c>
      <c r="AS65" s="160">
        <f t="shared" si="37"/>
        <v>0</v>
      </c>
      <c r="AT65" s="160">
        <f t="shared" si="37"/>
        <v>0</v>
      </c>
      <c r="AU65" s="160">
        <f t="shared" si="37"/>
        <v>606500</v>
      </c>
      <c r="AV65" s="160">
        <f t="shared" si="37"/>
        <v>1012200</v>
      </c>
      <c r="AW65" s="160">
        <f t="shared" si="37"/>
        <v>534100</v>
      </c>
      <c r="AX65" s="160">
        <f t="shared" si="37"/>
        <v>0</v>
      </c>
      <c r="AY65" s="160">
        <f t="shared" si="37"/>
        <v>877000</v>
      </c>
      <c r="AZ65" s="160">
        <f t="shared" si="37"/>
        <v>21400</v>
      </c>
      <c r="BA65" s="160">
        <f t="shared" si="37"/>
        <v>0</v>
      </c>
      <c r="BB65" s="160">
        <f t="shared" si="37"/>
        <v>1089000</v>
      </c>
      <c r="BC65" s="160">
        <f t="shared" si="37"/>
        <v>367900</v>
      </c>
      <c r="BD65" s="160">
        <f t="shared" si="37"/>
        <v>0</v>
      </c>
      <c r="BE65" s="160">
        <f t="shared" si="37"/>
        <v>414600</v>
      </c>
      <c r="BF65" s="160">
        <f t="shared" si="37"/>
        <v>0</v>
      </c>
      <c r="BG65" s="160">
        <f t="shared" si="37"/>
        <v>0</v>
      </c>
      <c r="BH65" s="160">
        <f t="shared" si="37"/>
        <v>365300</v>
      </c>
      <c r="BI65" s="160">
        <f t="shared" si="37"/>
        <v>356400</v>
      </c>
      <c r="BJ65" s="160">
        <f t="shared" si="37"/>
        <v>603500</v>
      </c>
      <c r="BK65" s="160">
        <f t="shared" si="37"/>
        <v>768400</v>
      </c>
      <c r="BL65" s="160">
        <f t="shared" si="37"/>
        <v>598400</v>
      </c>
      <c r="BM65" s="160">
        <f t="shared" si="37"/>
        <v>1302200</v>
      </c>
      <c r="BN65" s="160">
        <f t="shared" si="37"/>
        <v>2958000</v>
      </c>
      <c r="BO65" s="160">
        <f t="shared" si="37"/>
        <v>1322800</v>
      </c>
      <c r="BP65" s="160">
        <f t="shared" si="37"/>
        <v>689500</v>
      </c>
      <c r="BQ65" s="160">
        <f t="shared" ref="BQ65:CB65" si="38">ROUND(BQ61+BQ63,-2)</f>
        <v>1330000</v>
      </c>
      <c r="BR65" s="160">
        <f t="shared" si="38"/>
        <v>1311100</v>
      </c>
      <c r="BS65" s="160">
        <f t="shared" si="38"/>
        <v>929300</v>
      </c>
      <c r="BT65" s="160">
        <f t="shared" si="38"/>
        <v>0</v>
      </c>
      <c r="BU65" s="160">
        <f t="shared" si="38"/>
        <v>0</v>
      </c>
      <c r="BV65" s="160">
        <f t="shared" si="38"/>
        <v>293200</v>
      </c>
      <c r="BW65" s="160">
        <f t="shared" si="38"/>
        <v>524800</v>
      </c>
      <c r="BX65" s="160">
        <f t="shared" si="38"/>
        <v>1149000</v>
      </c>
      <c r="BY65" s="160">
        <f t="shared" si="38"/>
        <v>0</v>
      </c>
      <c r="BZ65" s="160">
        <f t="shared" si="38"/>
        <v>966900</v>
      </c>
      <c r="CA65" s="160">
        <f t="shared" si="38"/>
        <v>1587500</v>
      </c>
      <c r="CB65" s="160">
        <f t="shared" si="38"/>
        <v>89000</v>
      </c>
    </row>
    <row r="66" spans="2:80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2:80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2:80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2:80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2:80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2:80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2:80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2:80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2:80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2:80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2:80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2:80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2:80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2:80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2:80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3:80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3:80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3:80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  <row r="84" spans="3:80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D83"/>
  <sheetViews>
    <sheetView zoomScale="90" zoomScaleNormal="90" workbookViewId="0">
      <pane xSplit="3" ySplit="9" topLeftCell="D10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" style="3" customWidth="1"/>
    <col min="2" max="2" width="52.42578125" style="3" customWidth="1"/>
    <col min="3" max="80" width="21" style="3" customWidth="1"/>
    <col min="81" max="81" width="2.140625" style="3" customWidth="1"/>
    <col min="82" max="82" width="20.7109375" style="3" bestFit="1" customWidth="1"/>
    <col min="83" max="16384" width="11.42578125" style="38"/>
  </cols>
  <sheetData>
    <row r="1" spans="1:82" x14ac:dyDescent="0.2">
      <c r="A1" s="83" t="s">
        <v>217</v>
      </c>
      <c r="B1"/>
      <c r="C1"/>
      <c r="E1" s="164" t="s">
        <v>300</v>
      </c>
      <c r="F1" s="104"/>
      <c r="G1" s="104"/>
      <c r="H1" s="104"/>
      <c r="I1" s="104"/>
      <c r="J1" s="104"/>
    </row>
    <row r="2" spans="1:82" x14ac:dyDescent="0.2">
      <c r="A2" t="s">
        <v>218</v>
      </c>
      <c r="B2"/>
      <c r="C2"/>
      <c r="E2" s="165">
        <v>44400</v>
      </c>
      <c r="F2" s="104" t="s">
        <v>301</v>
      </c>
      <c r="G2" s="104"/>
      <c r="H2" s="104"/>
      <c r="I2" s="104"/>
      <c r="J2" s="104"/>
    </row>
    <row r="3" spans="1:82" x14ac:dyDescent="0.2">
      <c r="A3"/>
      <c r="B3"/>
      <c r="C3"/>
      <c r="E3" s="165">
        <v>44406</v>
      </c>
      <c r="F3" s="104" t="s">
        <v>302</v>
      </c>
      <c r="G3" s="104"/>
      <c r="H3" s="104"/>
      <c r="I3" s="104"/>
      <c r="J3" s="104"/>
    </row>
    <row r="4" spans="1:82" x14ac:dyDescent="0.2">
      <c r="A4"/>
      <c r="B4"/>
      <c r="C4"/>
      <c r="E4" s="104"/>
      <c r="F4" s="104"/>
      <c r="G4" s="104"/>
      <c r="H4" s="104"/>
      <c r="I4" s="104"/>
      <c r="J4" s="104"/>
    </row>
    <row r="5" spans="1:82" ht="26.25" x14ac:dyDescent="0.4">
      <c r="A5" s="18" t="s">
        <v>200</v>
      </c>
      <c r="E5" s="158"/>
      <c r="F5" s="104"/>
      <c r="G5" s="104"/>
      <c r="H5" s="104"/>
      <c r="I5" s="104"/>
      <c r="J5" s="104"/>
    </row>
    <row r="6" spans="1:82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2" x14ac:dyDescent="0.2">
      <c r="B7" s="20" t="s">
        <v>113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2" s="32" customFormat="1" x14ac:dyDescent="0.2">
      <c r="A8" s="21"/>
      <c r="B8" s="21"/>
      <c r="C8" s="21" t="s">
        <v>82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21" t="s">
        <v>61</v>
      </c>
      <c r="BI8" s="21" t="s">
        <v>62</v>
      </c>
      <c r="BJ8" s="21" t="s">
        <v>63</v>
      </c>
      <c r="BK8" s="21" t="s">
        <v>64</v>
      </c>
      <c r="BL8" s="21" t="s">
        <v>65</v>
      </c>
      <c r="BM8" s="21" t="s">
        <v>66</v>
      </c>
      <c r="BN8" s="21" t="s">
        <v>67</v>
      </c>
      <c r="BO8" s="21" t="s">
        <v>68</v>
      </c>
      <c r="BP8" s="21" t="s">
        <v>69</v>
      </c>
      <c r="BQ8" s="21" t="s">
        <v>70</v>
      </c>
      <c r="BR8" s="21" t="s">
        <v>71</v>
      </c>
      <c r="BS8" s="21" t="s">
        <v>72</v>
      </c>
      <c r="BT8" s="21" t="s">
        <v>73</v>
      </c>
      <c r="BU8" s="21" t="s">
        <v>74</v>
      </c>
      <c r="BV8" s="21" t="s">
        <v>75</v>
      </c>
      <c r="BW8" s="21" t="s">
        <v>76</v>
      </c>
      <c r="BX8" s="21" t="s">
        <v>77</v>
      </c>
      <c r="BY8" s="21" t="s">
        <v>78</v>
      </c>
      <c r="BZ8" s="21" t="s">
        <v>79</v>
      </c>
      <c r="CA8" s="21" t="s">
        <v>80</v>
      </c>
      <c r="CB8" s="21" t="s">
        <v>81</v>
      </c>
      <c r="CC8" s="21"/>
      <c r="CD8" s="21" t="s">
        <v>114</v>
      </c>
    </row>
    <row r="10" spans="1:82" s="56" customFormat="1" ht="15.75" x14ac:dyDescent="0.25">
      <c r="A10" s="22" t="s">
        <v>102</v>
      </c>
      <c r="B10" s="23" t="s">
        <v>129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x14ac:dyDescent="0.2">
      <c r="B11" s="24"/>
      <c r="C11" s="24"/>
    </row>
    <row r="12" spans="1:82" x14ac:dyDescent="0.2">
      <c r="A12" s="38"/>
      <c r="B12" s="59" t="str">
        <f>'Ressourcenausgleich Basis'!B124</f>
        <v>Einwohnerzahl per 31.12.</v>
      </c>
      <c r="C12" s="60">
        <f>'Ressourcenausgleich Basis'!C124</f>
        <v>510734</v>
      </c>
      <c r="D12" s="60">
        <f>'Ressourcenausgleich Basis'!D124</f>
        <v>76090</v>
      </c>
      <c r="E12" s="60">
        <f>'Ressourcenausgleich Basis'!E124</f>
        <v>9706</v>
      </c>
      <c r="F12" s="60">
        <f>'Ressourcenausgleich Basis'!F124</f>
        <v>1390</v>
      </c>
      <c r="G12" s="60">
        <f>'Ressourcenausgleich Basis'!G124</f>
        <v>1220</v>
      </c>
      <c r="H12" s="60">
        <f>'Ressourcenausgleich Basis'!H124</f>
        <v>3658</v>
      </c>
      <c r="I12" s="60">
        <f>'Ressourcenausgleich Basis'!I124</f>
        <v>9504</v>
      </c>
      <c r="J12" s="60">
        <f>'Ressourcenausgleich Basis'!J124</f>
        <v>3608</v>
      </c>
      <c r="K12" s="60">
        <f>'Ressourcenausgleich Basis'!K124</f>
        <v>851</v>
      </c>
      <c r="L12" s="60">
        <f>'Ressourcenausgleich Basis'!L124</f>
        <v>1438</v>
      </c>
      <c r="M12" s="60">
        <f>'Ressourcenausgleich Basis'!M124</f>
        <v>1046</v>
      </c>
      <c r="N12" s="60">
        <f>'Ressourcenausgleich Basis'!N124</f>
        <v>2339</v>
      </c>
      <c r="O12" s="60">
        <f>'Ressourcenausgleich Basis'!O124</f>
        <v>7382</v>
      </c>
      <c r="P12" s="60">
        <f>'Ressourcenausgleich Basis'!P124</f>
        <v>9438</v>
      </c>
      <c r="Q12" s="60">
        <f>'Ressourcenausgleich Basis'!Q124</f>
        <v>6565</v>
      </c>
      <c r="R12" s="60">
        <f>'Ressourcenausgleich Basis'!R124</f>
        <v>3398</v>
      </c>
      <c r="S12" s="60">
        <f>'Ressourcenausgleich Basis'!S124</f>
        <v>5960</v>
      </c>
      <c r="T12" s="60">
        <f>'Ressourcenausgleich Basis'!T124</f>
        <v>7809</v>
      </c>
      <c r="U12" s="60">
        <f>'Ressourcenausgleich Basis'!U124</f>
        <v>3936</v>
      </c>
      <c r="V12" s="60">
        <f>'Ressourcenausgleich Basis'!V124</f>
        <v>4891</v>
      </c>
      <c r="W12" s="60">
        <f>'Ressourcenausgleich Basis'!W124</f>
        <v>6465</v>
      </c>
      <c r="X12" s="60">
        <f>'Ressourcenausgleich Basis'!X124</f>
        <v>9756</v>
      </c>
      <c r="Y12" s="60">
        <f>'Ressourcenausgleich Basis'!Y124</f>
        <v>4533</v>
      </c>
      <c r="Z12" s="60">
        <f>'Ressourcenausgleich Basis'!Z124</f>
        <v>2110</v>
      </c>
      <c r="AA12" s="60">
        <f>'Ressourcenausgleich Basis'!AA124</f>
        <v>11877</v>
      </c>
      <c r="AB12" s="60">
        <f>'Ressourcenausgleich Basis'!AB124</f>
        <v>1520</v>
      </c>
      <c r="AC12" s="60">
        <f>'Ressourcenausgleich Basis'!AC124</f>
        <v>8979</v>
      </c>
      <c r="AD12" s="60">
        <f>'Ressourcenausgleich Basis'!AD124</f>
        <v>2412</v>
      </c>
      <c r="AE12" s="60">
        <f>'Ressourcenausgleich Basis'!AE124</f>
        <v>5665</v>
      </c>
      <c r="AF12" s="60">
        <f>'Ressourcenausgleich Basis'!AF124</f>
        <v>3550</v>
      </c>
      <c r="AG12" s="60">
        <f>'Ressourcenausgleich Basis'!AG124</f>
        <v>7147</v>
      </c>
      <c r="AH12" s="60">
        <f>'Ressourcenausgleich Basis'!AH124</f>
        <v>12861</v>
      </c>
      <c r="AI12" s="60">
        <f>'Ressourcenausgleich Basis'!AI124</f>
        <v>5112</v>
      </c>
      <c r="AJ12" s="60">
        <f>'Ressourcenausgleich Basis'!AJ124</f>
        <v>5295</v>
      </c>
      <c r="AK12" s="60">
        <f>'Ressourcenausgleich Basis'!AK124</f>
        <v>6200</v>
      </c>
      <c r="AL12" s="60">
        <f>'Ressourcenausgleich Basis'!AL124</f>
        <v>4884</v>
      </c>
      <c r="AM12" s="60">
        <f>'Ressourcenausgleich Basis'!AM124</f>
        <v>6264</v>
      </c>
      <c r="AN12" s="60">
        <f>'Ressourcenausgleich Basis'!AN124</f>
        <v>1556</v>
      </c>
      <c r="AO12" s="60">
        <f>'Ressourcenausgleich Basis'!AO124</f>
        <v>8561</v>
      </c>
      <c r="AP12" s="60">
        <f>'Ressourcenausgleich Basis'!AP124</f>
        <v>4889</v>
      </c>
      <c r="AQ12" s="60">
        <f>'Ressourcenausgleich Basis'!AQ124</f>
        <v>5705</v>
      </c>
      <c r="AR12" s="60">
        <f>'Ressourcenausgleich Basis'!AR124</f>
        <v>2949</v>
      </c>
      <c r="AS12" s="60">
        <f>'Ressourcenausgleich Basis'!AS124</f>
        <v>1823</v>
      </c>
      <c r="AT12" s="60">
        <f>'Ressourcenausgleich Basis'!AT124</f>
        <v>1717</v>
      </c>
      <c r="AU12" s="60">
        <f>'Ressourcenausgleich Basis'!AU124</f>
        <v>3876</v>
      </c>
      <c r="AV12" s="60">
        <f>'Ressourcenausgleich Basis'!AV124</f>
        <v>2982</v>
      </c>
      <c r="AW12" s="60">
        <f>'Ressourcenausgleich Basis'!AW124</f>
        <v>4924</v>
      </c>
      <c r="AX12" s="60">
        <f>'Ressourcenausgleich Basis'!AX124</f>
        <v>5218</v>
      </c>
      <c r="AY12" s="60">
        <f>'Ressourcenausgleich Basis'!AY124</f>
        <v>6489</v>
      </c>
      <c r="AZ12" s="60">
        <f>'Ressourcenausgleich Basis'!AZ124</f>
        <v>3766</v>
      </c>
      <c r="BA12" s="60">
        <f>'Ressourcenausgleich Basis'!BA124</f>
        <v>27277</v>
      </c>
      <c r="BB12" s="60">
        <f>'Ressourcenausgleich Basis'!BB124</f>
        <v>9584</v>
      </c>
      <c r="BC12" s="60">
        <f>'Ressourcenausgleich Basis'!BC124</f>
        <v>2606</v>
      </c>
      <c r="BD12" s="60">
        <f>'Ressourcenausgleich Basis'!BD124</f>
        <v>3545</v>
      </c>
      <c r="BE12" s="60">
        <f>'Ressourcenausgleich Basis'!BE124</f>
        <v>5001</v>
      </c>
      <c r="BF12" s="60">
        <f>'Ressourcenausgleich Basis'!BF124</f>
        <v>8761</v>
      </c>
      <c r="BG12" s="60">
        <f>'Ressourcenausgleich Basis'!BG124</f>
        <v>1896</v>
      </c>
      <c r="BH12" s="60">
        <f>'Ressourcenausgleich Basis'!BH124</f>
        <v>1251</v>
      </c>
      <c r="BI12" s="60">
        <f>'Ressourcenausgleich Basis'!BI124</f>
        <v>4044</v>
      </c>
      <c r="BJ12" s="60">
        <f>'Ressourcenausgleich Basis'!BJ124</f>
        <v>902</v>
      </c>
      <c r="BK12" s="60">
        <f>'Ressourcenausgleich Basis'!BK124</f>
        <v>4987</v>
      </c>
      <c r="BL12" s="60">
        <f>'Ressourcenausgleich Basis'!BL124</f>
        <v>1606</v>
      </c>
      <c r="BM12" s="60">
        <f>'Ressourcenausgleich Basis'!BM124</f>
        <v>2847</v>
      </c>
      <c r="BN12" s="60">
        <f>'Ressourcenausgleich Basis'!BN124</f>
        <v>9100</v>
      </c>
      <c r="BO12" s="60">
        <f>'Ressourcenausgleich Basis'!BO124</f>
        <v>3834</v>
      </c>
      <c r="BP12" s="60">
        <f>'Ressourcenausgleich Basis'!BP124</f>
        <v>6403</v>
      </c>
      <c r="BQ12" s="60">
        <f>'Ressourcenausgleich Basis'!BQ124</f>
        <v>13129</v>
      </c>
      <c r="BR12" s="60">
        <f>'Ressourcenausgleich Basis'!BR124</f>
        <v>10425</v>
      </c>
      <c r="BS12" s="60">
        <f>'Ressourcenausgleich Basis'!BS124</f>
        <v>4121</v>
      </c>
      <c r="BT12" s="60">
        <f>'Ressourcenausgleich Basis'!BT124</f>
        <v>24159</v>
      </c>
      <c r="BU12" s="60">
        <f>'Ressourcenausgleich Basis'!BU124</f>
        <v>4792</v>
      </c>
      <c r="BV12" s="60">
        <f>'Ressourcenausgleich Basis'!BV124</f>
        <v>4542</v>
      </c>
      <c r="BW12" s="60">
        <f>'Ressourcenausgleich Basis'!BW124</f>
        <v>1505</v>
      </c>
      <c r="BX12" s="60">
        <f>'Ressourcenausgleich Basis'!BX124</f>
        <v>3136</v>
      </c>
      <c r="BY12" s="60">
        <f>'Ressourcenausgleich Basis'!BY124</f>
        <v>18108</v>
      </c>
      <c r="BZ12" s="60">
        <f>'Ressourcenausgleich Basis'!BZ124</f>
        <v>1999</v>
      </c>
      <c r="CA12" s="60">
        <f>'Ressourcenausgleich Basis'!CA124</f>
        <v>3533</v>
      </c>
      <c r="CB12" s="60">
        <f>'Ressourcenausgleich Basis'!CB124</f>
        <v>8327</v>
      </c>
      <c r="CC12" s="38"/>
      <c r="CD12" s="38"/>
    </row>
    <row r="13" spans="1:82" x14ac:dyDescent="0.2">
      <c r="A13" s="38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38"/>
      <c r="CD13" s="38"/>
    </row>
    <row r="14" spans="1:82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2" s="57" customFormat="1" ht="15.75" x14ac:dyDescent="0.25">
      <c r="A15" s="22" t="s">
        <v>103</v>
      </c>
      <c r="B15" s="22" t="s">
        <v>201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22"/>
      <c r="CD15" s="22"/>
    </row>
    <row r="16" spans="1:82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2" s="32" customFormat="1" x14ac:dyDescent="0.2">
      <c r="A17" s="63" t="s">
        <v>145</v>
      </c>
      <c r="B17" s="61" t="s">
        <v>202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1"/>
      <c r="CD17" s="61"/>
    </row>
    <row r="18" spans="1:82" x14ac:dyDescent="0.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2" x14ac:dyDescent="0.2">
      <c r="B19" s="3" t="s">
        <v>205</v>
      </c>
      <c r="C19" s="10">
        <v>0.6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82" x14ac:dyDescent="0.2">
      <c r="A20" s="38"/>
      <c r="B20" s="38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38"/>
      <c r="CD20" s="38"/>
    </row>
    <row r="21" spans="1:82" x14ac:dyDescent="0.2">
      <c r="A21" s="38"/>
      <c r="B21" s="38" t="s">
        <v>227</v>
      </c>
      <c r="C21" s="5">
        <f>SUM(D21:CB21)</f>
        <v>54962542.750000007</v>
      </c>
      <c r="D21" s="12">
        <v>16530238.879999999</v>
      </c>
      <c r="E21" s="12">
        <v>1199234.46</v>
      </c>
      <c r="F21" s="12">
        <v>72040.45</v>
      </c>
      <c r="G21" s="12">
        <v>148903.1</v>
      </c>
      <c r="H21" s="12">
        <v>257857.75</v>
      </c>
      <c r="I21" s="12">
        <v>1075833</v>
      </c>
      <c r="J21" s="12">
        <v>352313.25</v>
      </c>
      <c r="K21" s="12">
        <v>3562.6</v>
      </c>
      <c r="L21" s="12">
        <v>141334.70000000001</v>
      </c>
      <c r="M21" s="12">
        <v>32822.050000000003</v>
      </c>
      <c r="N21" s="12">
        <v>72221.8</v>
      </c>
      <c r="O21" s="12">
        <v>875892.14</v>
      </c>
      <c r="P21" s="12">
        <v>1627624.21</v>
      </c>
      <c r="Q21" s="12">
        <v>392735.52</v>
      </c>
      <c r="R21" s="12">
        <v>163906.09</v>
      </c>
      <c r="S21" s="12">
        <v>971269.35</v>
      </c>
      <c r="T21" s="12">
        <v>758442.08</v>
      </c>
      <c r="U21" s="12">
        <v>161268.76</v>
      </c>
      <c r="V21" s="12">
        <v>200661.28</v>
      </c>
      <c r="W21" s="12">
        <v>480155.66</v>
      </c>
      <c r="X21" s="12">
        <v>566962.38</v>
      </c>
      <c r="Y21" s="12">
        <v>529066.46</v>
      </c>
      <c r="Z21" s="12">
        <v>54155.519999999997</v>
      </c>
      <c r="AA21" s="12">
        <v>1735203.66</v>
      </c>
      <c r="AB21" s="12">
        <v>142185.09</v>
      </c>
      <c r="AC21" s="12">
        <v>285620.13</v>
      </c>
      <c r="AD21" s="12">
        <v>111108</v>
      </c>
      <c r="AE21" s="12">
        <v>390650.05</v>
      </c>
      <c r="AF21" s="12">
        <v>208938.9</v>
      </c>
      <c r="AG21" s="12">
        <v>644039.30000000005</v>
      </c>
      <c r="AH21" s="12">
        <v>1347477.01</v>
      </c>
      <c r="AI21" s="12">
        <v>533306.4</v>
      </c>
      <c r="AJ21" s="12">
        <v>433266.52</v>
      </c>
      <c r="AK21" s="12">
        <v>344327.82</v>
      </c>
      <c r="AL21" s="12">
        <v>202082.34</v>
      </c>
      <c r="AM21" s="12">
        <v>196014.5</v>
      </c>
      <c r="AN21" s="12">
        <v>53183.55</v>
      </c>
      <c r="AO21" s="12">
        <v>768989.59</v>
      </c>
      <c r="AP21" s="12">
        <v>328571.03000000003</v>
      </c>
      <c r="AQ21" s="12">
        <v>408811.23</v>
      </c>
      <c r="AR21" s="12">
        <v>25587.23</v>
      </c>
      <c r="AS21" s="12">
        <v>25116.799999999999</v>
      </c>
      <c r="AT21" s="12">
        <v>121236.03</v>
      </c>
      <c r="AU21" s="12">
        <v>214065.7</v>
      </c>
      <c r="AV21" s="12">
        <v>213795.72</v>
      </c>
      <c r="AW21" s="12">
        <v>295884.38</v>
      </c>
      <c r="AX21" s="12">
        <v>140654.79999999999</v>
      </c>
      <c r="AY21" s="12">
        <v>572843.06999999995</v>
      </c>
      <c r="AZ21" s="12">
        <v>213866.51</v>
      </c>
      <c r="BA21" s="12">
        <v>3724970.28</v>
      </c>
      <c r="BB21" s="12">
        <v>781747.72</v>
      </c>
      <c r="BC21" s="12">
        <v>69484.75</v>
      </c>
      <c r="BD21" s="12">
        <v>115481.75</v>
      </c>
      <c r="BE21" s="12">
        <v>599347.15</v>
      </c>
      <c r="BF21" s="12">
        <v>675656.8</v>
      </c>
      <c r="BG21" s="12">
        <v>381053.1</v>
      </c>
      <c r="BH21" s="12">
        <v>8327.0499999999993</v>
      </c>
      <c r="BI21" s="12">
        <v>631851.19999999995</v>
      </c>
      <c r="BJ21" s="12">
        <v>44382.6</v>
      </c>
      <c r="BK21" s="12">
        <v>267694.34999999998</v>
      </c>
      <c r="BL21" s="12">
        <v>149995.65</v>
      </c>
      <c r="BM21" s="12">
        <v>101863.55</v>
      </c>
      <c r="BN21" s="12">
        <v>928808.65</v>
      </c>
      <c r="BO21" s="12">
        <v>236094.05</v>
      </c>
      <c r="BP21" s="12">
        <v>551196.35</v>
      </c>
      <c r="BQ21" s="12">
        <v>877106.79</v>
      </c>
      <c r="BR21" s="12">
        <v>1313340.5</v>
      </c>
      <c r="BS21" s="12">
        <v>255639.97</v>
      </c>
      <c r="BT21" s="12">
        <v>3274961.7</v>
      </c>
      <c r="BU21" s="12">
        <v>52261.2</v>
      </c>
      <c r="BV21" s="12">
        <v>170631.12</v>
      </c>
      <c r="BW21" s="12">
        <v>29100.85</v>
      </c>
      <c r="BX21" s="12">
        <v>47528.45</v>
      </c>
      <c r="BY21" s="12">
        <v>1894037.34</v>
      </c>
      <c r="BZ21" s="12">
        <v>31171.45</v>
      </c>
      <c r="CA21" s="12">
        <v>265344.5</v>
      </c>
      <c r="CB21" s="12">
        <v>858137.03</v>
      </c>
      <c r="CC21" s="38"/>
      <c r="CD21" s="38" t="s">
        <v>136</v>
      </c>
    </row>
    <row r="22" spans="1:82" x14ac:dyDescent="0.2">
      <c r="A22" s="38"/>
      <c r="B22" s="38" t="s">
        <v>207</v>
      </c>
      <c r="C22" s="5">
        <f t="shared" ref="C22:AH22" si="0">C21/C12</f>
        <v>107.61481074296994</v>
      </c>
      <c r="D22" s="5">
        <f t="shared" si="0"/>
        <v>217.24587830201077</v>
      </c>
      <c r="E22" s="5">
        <f t="shared" si="0"/>
        <v>123.55599216979188</v>
      </c>
      <c r="F22" s="5">
        <f t="shared" si="0"/>
        <v>51.827661870503597</v>
      </c>
      <c r="G22" s="5">
        <f t="shared" si="0"/>
        <v>122.05172131147542</v>
      </c>
      <c r="H22" s="5">
        <f t="shared" si="0"/>
        <v>70.491457080371788</v>
      </c>
      <c r="I22" s="5">
        <f t="shared" si="0"/>
        <v>113.19791666666667</v>
      </c>
      <c r="J22" s="5">
        <f t="shared" si="0"/>
        <v>97.647796563192898</v>
      </c>
      <c r="K22" s="5">
        <f t="shared" si="0"/>
        <v>4.1863689776733253</v>
      </c>
      <c r="L22" s="5">
        <f t="shared" si="0"/>
        <v>98.285605006954114</v>
      </c>
      <c r="M22" s="5">
        <f t="shared" si="0"/>
        <v>31.378632887189294</v>
      </c>
      <c r="N22" s="5">
        <f t="shared" si="0"/>
        <v>30.877212483967508</v>
      </c>
      <c r="O22" s="5">
        <f t="shared" si="0"/>
        <v>118.65241668924411</v>
      </c>
      <c r="P22" s="5">
        <f t="shared" si="0"/>
        <v>172.45435579571944</v>
      </c>
      <c r="Q22" s="5">
        <f t="shared" si="0"/>
        <v>59.822623000761617</v>
      </c>
      <c r="R22" s="5">
        <f t="shared" si="0"/>
        <v>48.236047675103002</v>
      </c>
      <c r="S22" s="5">
        <f t="shared" si="0"/>
        <v>162.96465604026847</v>
      </c>
      <c r="T22" s="5">
        <f t="shared" si="0"/>
        <v>97.12409783583044</v>
      </c>
      <c r="U22" s="5">
        <f t="shared" si="0"/>
        <v>40.972754065040654</v>
      </c>
      <c r="V22" s="5">
        <f t="shared" si="0"/>
        <v>41.026636679615621</v>
      </c>
      <c r="W22" s="5">
        <f t="shared" si="0"/>
        <v>74.270017014694503</v>
      </c>
      <c r="X22" s="5">
        <f t="shared" si="0"/>
        <v>58.114225092250926</v>
      </c>
      <c r="Y22" s="5">
        <f t="shared" si="0"/>
        <v>116.71441870725788</v>
      </c>
      <c r="Z22" s="5">
        <f t="shared" si="0"/>
        <v>25.666123222748812</v>
      </c>
      <c r="AA22" s="5">
        <f t="shared" si="0"/>
        <v>146.09780752715332</v>
      </c>
      <c r="AB22" s="5">
        <f t="shared" si="0"/>
        <v>93.542822368421056</v>
      </c>
      <c r="AC22" s="5">
        <f t="shared" si="0"/>
        <v>31.809792849983296</v>
      </c>
      <c r="AD22" s="5">
        <f t="shared" si="0"/>
        <v>46.06467661691542</v>
      </c>
      <c r="AE22" s="5">
        <f t="shared" si="0"/>
        <v>68.958526037069731</v>
      </c>
      <c r="AF22" s="5">
        <f t="shared" si="0"/>
        <v>58.856028169014081</v>
      </c>
      <c r="AG22" s="5">
        <f t="shared" si="0"/>
        <v>90.113236322932707</v>
      </c>
      <c r="AH22" s="5">
        <f t="shared" si="0"/>
        <v>104.77233574372133</v>
      </c>
      <c r="AI22" s="5">
        <f t="shared" ref="AI22:BN22" si="1">AI21/AI12</f>
        <v>104.32441314553991</v>
      </c>
      <c r="AJ22" s="5">
        <f t="shared" si="1"/>
        <v>81.825593956562798</v>
      </c>
      <c r="AK22" s="5">
        <f t="shared" si="1"/>
        <v>55.536745161290327</v>
      </c>
      <c r="AL22" s="5">
        <f t="shared" si="1"/>
        <v>41.376400491400489</v>
      </c>
      <c r="AM22" s="5">
        <f t="shared" si="1"/>
        <v>31.292225415070241</v>
      </c>
      <c r="AN22" s="5">
        <f t="shared" si="1"/>
        <v>34.179659383033417</v>
      </c>
      <c r="AO22" s="5">
        <f t="shared" si="1"/>
        <v>89.824738932367708</v>
      </c>
      <c r="AP22" s="5">
        <f t="shared" si="1"/>
        <v>67.206183268562086</v>
      </c>
      <c r="AQ22" s="5">
        <f t="shared" si="1"/>
        <v>71.658410166520596</v>
      </c>
      <c r="AR22" s="5">
        <f t="shared" si="1"/>
        <v>8.6765785011868424</v>
      </c>
      <c r="AS22" s="5">
        <f t="shared" si="1"/>
        <v>13.777729018102029</v>
      </c>
      <c r="AT22" s="5">
        <f t="shared" si="1"/>
        <v>70.609219569015721</v>
      </c>
      <c r="AU22" s="5">
        <f t="shared" si="1"/>
        <v>55.228508771929825</v>
      </c>
      <c r="AV22" s="5">
        <f t="shared" si="1"/>
        <v>71.695412474849093</v>
      </c>
      <c r="AW22" s="5">
        <f t="shared" si="1"/>
        <v>60.090247766043866</v>
      </c>
      <c r="AX22" s="5">
        <f t="shared" si="1"/>
        <v>26.955691835952472</v>
      </c>
      <c r="AY22" s="5">
        <f t="shared" si="1"/>
        <v>88.279098474341183</v>
      </c>
      <c r="AZ22" s="5">
        <f t="shared" si="1"/>
        <v>56.78877057886352</v>
      </c>
      <c r="BA22" s="5">
        <f t="shared" si="1"/>
        <v>136.5608490669795</v>
      </c>
      <c r="BB22" s="5">
        <f t="shared" si="1"/>
        <v>81.568000834724543</v>
      </c>
      <c r="BC22" s="5">
        <f t="shared" si="1"/>
        <v>26.663372985418267</v>
      </c>
      <c r="BD22" s="5">
        <f t="shared" si="1"/>
        <v>32.575952045133988</v>
      </c>
      <c r="BE22" s="5">
        <f t="shared" si="1"/>
        <v>119.84546090781843</v>
      </c>
      <c r="BF22" s="5">
        <f t="shared" si="1"/>
        <v>77.120967926035846</v>
      </c>
      <c r="BG22" s="5">
        <f t="shared" si="1"/>
        <v>200.97737341772151</v>
      </c>
      <c r="BH22" s="5">
        <f t="shared" si="1"/>
        <v>6.6563149480415662</v>
      </c>
      <c r="BI22" s="5">
        <f t="shared" si="1"/>
        <v>156.24411473788328</v>
      </c>
      <c r="BJ22" s="5">
        <f t="shared" si="1"/>
        <v>49.204656319290464</v>
      </c>
      <c r="BK22" s="5">
        <f t="shared" si="1"/>
        <v>53.678433928213352</v>
      </c>
      <c r="BL22" s="5">
        <f t="shared" si="1"/>
        <v>93.397042341220413</v>
      </c>
      <c r="BM22" s="5">
        <f t="shared" si="1"/>
        <v>35.779258868984897</v>
      </c>
      <c r="BN22" s="5">
        <f t="shared" si="1"/>
        <v>102.06688461538462</v>
      </c>
      <c r="BO22" s="5">
        <f t="shared" ref="BO22:CB22" si="2">BO21/BO12</f>
        <v>61.579042775169533</v>
      </c>
      <c r="BP22" s="5">
        <f t="shared" si="2"/>
        <v>86.084077776042477</v>
      </c>
      <c r="BQ22" s="5">
        <f t="shared" si="2"/>
        <v>66.806823825119963</v>
      </c>
      <c r="BR22" s="5">
        <f t="shared" si="2"/>
        <v>125.97990407673861</v>
      </c>
      <c r="BS22" s="5">
        <f t="shared" si="2"/>
        <v>62.033479737927685</v>
      </c>
      <c r="BT22" s="5">
        <f t="shared" si="2"/>
        <v>135.55866136843414</v>
      </c>
      <c r="BU22" s="5">
        <f t="shared" si="2"/>
        <v>10.905926544240399</v>
      </c>
      <c r="BV22" s="5">
        <f t="shared" si="2"/>
        <v>37.567397622192864</v>
      </c>
      <c r="BW22" s="5">
        <f t="shared" si="2"/>
        <v>19.336112956810631</v>
      </c>
      <c r="BX22" s="5">
        <f t="shared" si="2"/>
        <v>15.155755739795918</v>
      </c>
      <c r="BY22" s="5">
        <f t="shared" si="2"/>
        <v>104.59671636845593</v>
      </c>
      <c r="BZ22" s="5">
        <f t="shared" si="2"/>
        <v>15.59352176088044</v>
      </c>
      <c r="CA22" s="5">
        <f t="shared" si="2"/>
        <v>75.10458533823946</v>
      </c>
      <c r="CB22" s="5">
        <f t="shared" si="2"/>
        <v>103.05476522156839</v>
      </c>
      <c r="CC22" s="38"/>
      <c r="CD22" s="38"/>
    </row>
    <row r="23" spans="1:82" x14ac:dyDescent="0.2">
      <c r="A23" s="38"/>
      <c r="B23" s="38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38"/>
      <c r="CD23" s="38"/>
    </row>
    <row r="24" spans="1:82" s="32" customFormat="1" x14ac:dyDescent="0.2">
      <c r="B24" s="32" t="s">
        <v>202</v>
      </c>
      <c r="C24" s="15">
        <f>SUM(D24:CB24)</f>
        <v>7307885.8634171113</v>
      </c>
      <c r="D24" s="15">
        <f>IF(D22&lt;$C22,0,(D22-$C22)*$C19*D12)</f>
        <v>5005096.75834045</v>
      </c>
      <c r="E24" s="15">
        <f t="shared" ref="E24:BP24" si="3">IF(E22&lt;$C22,0,(E22-$C22)*$C19*E12)</f>
        <v>92835.064157240253</v>
      </c>
      <c r="F24" s="15">
        <f t="shared" si="3"/>
        <v>0</v>
      </c>
      <c r="G24" s="15">
        <f t="shared" si="3"/>
        <v>10567.818536146013</v>
      </c>
      <c r="H24" s="15">
        <f t="shared" si="3"/>
        <v>0</v>
      </c>
      <c r="I24" s="15">
        <f t="shared" si="3"/>
        <v>31837.103219288259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48887.764257237548</v>
      </c>
      <c r="P24" s="15">
        <f t="shared" si="3"/>
        <v>367173.37572470988</v>
      </c>
      <c r="Q24" s="15">
        <f t="shared" si="3"/>
        <v>0</v>
      </c>
      <c r="R24" s="15">
        <f t="shared" si="3"/>
        <v>0</v>
      </c>
      <c r="S24" s="15">
        <f t="shared" si="3"/>
        <v>197931.04678313955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24749.113741270339</v>
      </c>
      <c r="Z24" s="15">
        <f t="shared" si="3"/>
        <v>0</v>
      </c>
      <c r="AA24" s="15">
        <f t="shared" si="3"/>
        <v>274237.53168344765</v>
      </c>
      <c r="AB24" s="15">
        <f t="shared" si="3"/>
        <v>0</v>
      </c>
      <c r="AC24" s="15">
        <f t="shared" si="3"/>
        <v>0</v>
      </c>
      <c r="AD24" s="15">
        <f t="shared" si="3"/>
        <v>0</v>
      </c>
      <c r="AE24" s="15">
        <f t="shared" si="3"/>
        <v>0</v>
      </c>
      <c r="AF24" s="15">
        <f t="shared" si="3"/>
        <v>0</v>
      </c>
      <c r="AG24" s="15">
        <f t="shared" si="3"/>
        <v>0</v>
      </c>
      <c r="AH24" s="15">
        <f t="shared" si="3"/>
        <v>0</v>
      </c>
      <c r="AI24" s="15">
        <f t="shared" si="3"/>
        <v>0</v>
      </c>
      <c r="AJ24" s="15">
        <f t="shared" si="3"/>
        <v>0</v>
      </c>
      <c r="AK24" s="15">
        <f t="shared" si="3"/>
        <v>0</v>
      </c>
      <c r="AL24" s="15">
        <f t="shared" si="3"/>
        <v>0</v>
      </c>
      <c r="AM24" s="15">
        <f t="shared" si="3"/>
        <v>0</v>
      </c>
      <c r="AN24" s="15">
        <f t="shared" si="3"/>
        <v>0</v>
      </c>
      <c r="AO24" s="15">
        <f t="shared" si="3"/>
        <v>0</v>
      </c>
      <c r="AP24" s="15">
        <f t="shared" si="3"/>
        <v>0</v>
      </c>
      <c r="AQ24" s="15">
        <f t="shared" si="3"/>
        <v>0</v>
      </c>
      <c r="AR24" s="15">
        <f t="shared" si="3"/>
        <v>0</v>
      </c>
      <c r="AS24" s="15">
        <f t="shared" si="3"/>
        <v>0</v>
      </c>
      <c r="AT24" s="15">
        <f t="shared" si="3"/>
        <v>0</v>
      </c>
      <c r="AU24" s="15">
        <f t="shared" si="3"/>
        <v>0</v>
      </c>
      <c r="AV24" s="15">
        <f t="shared" si="3"/>
        <v>0</v>
      </c>
      <c r="AW24" s="15">
        <f t="shared" si="3"/>
        <v>0</v>
      </c>
      <c r="AX24" s="15">
        <f t="shared" si="3"/>
        <v>0</v>
      </c>
      <c r="AY24" s="15">
        <f t="shared" si="3"/>
        <v>0</v>
      </c>
      <c r="AZ24" s="15">
        <f t="shared" si="3"/>
        <v>0</v>
      </c>
      <c r="BA24" s="15">
        <f t="shared" si="3"/>
        <v>473736.65241840534</v>
      </c>
      <c r="BB24" s="15">
        <f t="shared" si="3"/>
        <v>0</v>
      </c>
      <c r="BC24" s="15">
        <f t="shared" si="3"/>
        <v>0</v>
      </c>
      <c r="BD24" s="15">
        <f t="shared" si="3"/>
        <v>0</v>
      </c>
      <c r="BE24" s="15">
        <f t="shared" si="3"/>
        <v>36699.288884644397</v>
      </c>
      <c r="BF24" s="15">
        <f t="shared" si="3"/>
        <v>0</v>
      </c>
      <c r="BG24" s="15">
        <f t="shared" si="3"/>
        <v>106209.25129879739</v>
      </c>
      <c r="BH24" s="15">
        <f t="shared" si="3"/>
        <v>0</v>
      </c>
      <c r="BI24" s="15">
        <f t="shared" si="3"/>
        <v>117994.14321325773</v>
      </c>
      <c r="BJ24" s="15">
        <f t="shared" si="3"/>
        <v>0</v>
      </c>
      <c r="BK24" s="15">
        <f t="shared" si="3"/>
        <v>0</v>
      </c>
      <c r="BL24" s="15">
        <f t="shared" si="3"/>
        <v>0</v>
      </c>
      <c r="BM24" s="15">
        <f t="shared" si="3"/>
        <v>0</v>
      </c>
      <c r="BN24" s="15">
        <f t="shared" si="3"/>
        <v>0</v>
      </c>
      <c r="BO24" s="15">
        <f t="shared" si="3"/>
        <v>0</v>
      </c>
      <c r="BP24" s="15">
        <f t="shared" si="3"/>
        <v>0</v>
      </c>
      <c r="BQ24" s="15">
        <f t="shared" ref="BQ24:CB24" si="4">IF(BQ22&lt;$C22,0,(BQ22-$C22)*$C19*BQ12)</f>
        <v>0</v>
      </c>
      <c r="BR24" s="15">
        <f t="shared" si="4"/>
        <v>114873.65880272303</v>
      </c>
      <c r="BS24" s="15">
        <f t="shared" si="4"/>
        <v>0</v>
      </c>
      <c r="BT24" s="15">
        <f t="shared" si="4"/>
        <v>405057.29235635389</v>
      </c>
      <c r="BU24" s="15">
        <f t="shared" si="4"/>
        <v>0</v>
      </c>
      <c r="BV24" s="15">
        <f t="shared" si="4"/>
        <v>0</v>
      </c>
      <c r="BW24" s="15">
        <f t="shared" si="4"/>
        <v>0</v>
      </c>
      <c r="BX24" s="15">
        <f t="shared" si="4"/>
        <v>0</v>
      </c>
      <c r="BY24" s="15">
        <f t="shared" si="4"/>
        <v>0</v>
      </c>
      <c r="BZ24" s="15">
        <f t="shared" si="4"/>
        <v>0</v>
      </c>
      <c r="CA24" s="15">
        <f t="shared" si="4"/>
        <v>0</v>
      </c>
      <c r="CB24" s="15">
        <f t="shared" si="4"/>
        <v>0</v>
      </c>
    </row>
    <row r="25" spans="1:82" x14ac:dyDescent="0.2">
      <c r="A25" s="38"/>
      <c r="B25" s="38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38"/>
      <c r="CD25" s="38"/>
    </row>
    <row r="26" spans="1:82" x14ac:dyDescent="0.2">
      <c r="C26" s="5"/>
      <c r="D26" s="5"/>
      <c r="E26" s="6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2" s="32" customFormat="1" x14ac:dyDescent="0.2">
      <c r="A27" s="63" t="s">
        <v>146</v>
      </c>
      <c r="B27" s="61" t="s">
        <v>203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1"/>
      <c r="CD27" s="61"/>
    </row>
    <row r="28" spans="1:82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2" x14ac:dyDescent="0.2">
      <c r="B29" s="3" t="s">
        <v>205</v>
      </c>
      <c r="C29" s="10">
        <v>0.6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82" s="32" customFormat="1" x14ac:dyDescent="0.2">
      <c r="A30" s="21"/>
      <c r="B30" s="3" t="s">
        <v>206</v>
      </c>
      <c r="C30" s="76">
        <v>0.2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21"/>
      <c r="CD30" s="21"/>
    </row>
    <row r="31" spans="1:82" s="32" customFormat="1" x14ac:dyDescent="0.2">
      <c r="A31" s="21"/>
      <c r="B31" s="3"/>
      <c r="C31" s="7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21"/>
      <c r="CD31" s="21"/>
    </row>
    <row r="32" spans="1:82" s="30" customFormat="1" x14ac:dyDescent="0.2">
      <c r="A32" s="33"/>
      <c r="B32" s="30" t="s">
        <v>212</v>
      </c>
      <c r="C32" s="36">
        <f>SUM(D32:CB32)</f>
        <v>75397271.640000001</v>
      </c>
      <c r="D32" s="44">
        <v>28255955.43</v>
      </c>
      <c r="E32" s="44">
        <v>1640402.79</v>
      </c>
      <c r="F32" s="44">
        <v>13360.85</v>
      </c>
      <c r="G32" s="44">
        <v>-10786.9</v>
      </c>
      <c r="H32" s="44">
        <v>39186.050000000003</v>
      </c>
      <c r="I32" s="44">
        <v>736486.9</v>
      </c>
      <c r="J32" s="44">
        <v>403216.56</v>
      </c>
      <c r="K32" s="44">
        <v>20336.2</v>
      </c>
      <c r="L32" s="44">
        <v>25859.200000000001</v>
      </c>
      <c r="M32" s="44">
        <v>36146.82</v>
      </c>
      <c r="N32" s="44">
        <v>14229.2</v>
      </c>
      <c r="O32" s="44">
        <v>917268.05</v>
      </c>
      <c r="P32" s="44">
        <v>2602578.7400000002</v>
      </c>
      <c r="Q32" s="44">
        <v>681787.93</v>
      </c>
      <c r="R32" s="44">
        <v>691803.54</v>
      </c>
      <c r="S32" s="44">
        <v>720456.95</v>
      </c>
      <c r="T32" s="44">
        <v>1276115.08</v>
      </c>
      <c r="U32" s="44">
        <v>510586.74</v>
      </c>
      <c r="V32" s="44">
        <v>174647.69</v>
      </c>
      <c r="W32" s="44">
        <v>175968.43</v>
      </c>
      <c r="X32" s="44">
        <v>605814.42000000004</v>
      </c>
      <c r="Y32" s="44">
        <v>556583.24</v>
      </c>
      <c r="Z32" s="44">
        <v>121522.25</v>
      </c>
      <c r="AA32" s="44">
        <v>1178195.22</v>
      </c>
      <c r="AB32" s="44">
        <v>179796.05</v>
      </c>
      <c r="AC32" s="44">
        <v>186160.84</v>
      </c>
      <c r="AD32" s="44">
        <v>147481.1</v>
      </c>
      <c r="AE32" s="44">
        <v>147841.21</v>
      </c>
      <c r="AF32" s="44">
        <v>143549.29999999999</v>
      </c>
      <c r="AG32" s="44">
        <v>396596.03</v>
      </c>
      <c r="AH32" s="44">
        <v>1558696.91</v>
      </c>
      <c r="AI32" s="44">
        <v>801953.18</v>
      </c>
      <c r="AJ32" s="44">
        <v>607353.38</v>
      </c>
      <c r="AK32" s="44">
        <v>402118.5</v>
      </c>
      <c r="AL32" s="44">
        <v>183694.67</v>
      </c>
      <c r="AM32" s="44">
        <v>492742.94</v>
      </c>
      <c r="AN32" s="44">
        <v>262504.40000000002</v>
      </c>
      <c r="AO32" s="44">
        <v>479448.6</v>
      </c>
      <c r="AP32" s="44">
        <v>289504.8</v>
      </c>
      <c r="AQ32" s="44">
        <v>100222.57</v>
      </c>
      <c r="AR32" s="44">
        <v>325335.2</v>
      </c>
      <c r="AS32" s="44">
        <v>29237.599999999999</v>
      </c>
      <c r="AT32" s="44">
        <v>183443.65</v>
      </c>
      <c r="AU32" s="44">
        <v>306646.99</v>
      </c>
      <c r="AV32" s="44">
        <v>215686.1</v>
      </c>
      <c r="AW32" s="44">
        <v>488228.6</v>
      </c>
      <c r="AX32" s="44">
        <v>288171.21999999997</v>
      </c>
      <c r="AY32" s="44">
        <v>1075803.2</v>
      </c>
      <c r="AZ32" s="44">
        <v>460898.5</v>
      </c>
      <c r="BA32" s="44">
        <v>3808735.13</v>
      </c>
      <c r="BB32" s="44">
        <v>606845.25</v>
      </c>
      <c r="BC32" s="44">
        <v>323158.58</v>
      </c>
      <c r="BD32" s="44">
        <v>202607.85</v>
      </c>
      <c r="BE32" s="44">
        <v>1014827.3</v>
      </c>
      <c r="BF32" s="44">
        <v>1690928.75</v>
      </c>
      <c r="BG32" s="44">
        <v>272554.45</v>
      </c>
      <c r="BH32" s="44">
        <v>-556.95000000000005</v>
      </c>
      <c r="BI32" s="44">
        <v>787444.75</v>
      </c>
      <c r="BJ32" s="44">
        <v>111589.05</v>
      </c>
      <c r="BK32" s="44">
        <v>748028.65</v>
      </c>
      <c r="BL32" s="44">
        <v>70067.100000000006</v>
      </c>
      <c r="BM32" s="44">
        <v>18763.599999999999</v>
      </c>
      <c r="BN32" s="44">
        <v>1486393.53</v>
      </c>
      <c r="BO32" s="44">
        <v>85497.4</v>
      </c>
      <c r="BP32" s="44">
        <v>440173.25</v>
      </c>
      <c r="BQ32" s="44">
        <v>1536717.53</v>
      </c>
      <c r="BR32" s="44">
        <v>1686370.45</v>
      </c>
      <c r="BS32" s="44">
        <v>160850.1</v>
      </c>
      <c r="BT32" s="44">
        <v>6207469.8499999996</v>
      </c>
      <c r="BU32" s="44">
        <v>194901.2</v>
      </c>
      <c r="BV32" s="44">
        <v>45643.6</v>
      </c>
      <c r="BW32" s="44">
        <v>119448.65</v>
      </c>
      <c r="BX32" s="44">
        <v>118136.8</v>
      </c>
      <c r="BY32" s="44">
        <v>1407985.15</v>
      </c>
      <c r="BZ32" s="44">
        <v>114021.55</v>
      </c>
      <c r="CA32" s="44">
        <v>367693.41</v>
      </c>
      <c r="CB32" s="44">
        <v>630138.74</v>
      </c>
      <c r="CC32" s="33"/>
      <c r="CD32" s="33" t="s">
        <v>136</v>
      </c>
    </row>
    <row r="33" spans="1:82" s="30" customFormat="1" x14ac:dyDescent="0.2">
      <c r="A33" s="33"/>
      <c r="B33" s="30" t="s">
        <v>208</v>
      </c>
      <c r="C33" s="36">
        <f t="shared" ref="C33:AH33" si="5">C32/C12</f>
        <v>147.62532284907604</v>
      </c>
      <c r="D33" s="36">
        <f t="shared" si="5"/>
        <v>371.34913168616112</v>
      </c>
      <c r="E33" s="36">
        <f t="shared" si="5"/>
        <v>169.00914794972184</v>
      </c>
      <c r="F33" s="36">
        <f t="shared" si="5"/>
        <v>9.6121223021582729</v>
      </c>
      <c r="G33" s="36">
        <f t="shared" si="5"/>
        <v>-8.8417213114754087</v>
      </c>
      <c r="H33" s="36">
        <f t="shared" si="5"/>
        <v>10.712424822307273</v>
      </c>
      <c r="I33" s="36">
        <f t="shared" si="5"/>
        <v>77.49230850168351</v>
      </c>
      <c r="J33" s="36">
        <f t="shared" si="5"/>
        <v>111.75625277161862</v>
      </c>
      <c r="K33" s="36">
        <f t="shared" si="5"/>
        <v>23.896827262044653</v>
      </c>
      <c r="L33" s="36">
        <f t="shared" si="5"/>
        <v>17.982753824756607</v>
      </c>
      <c r="M33" s="36">
        <f t="shared" si="5"/>
        <v>34.557189292543022</v>
      </c>
      <c r="N33" s="36">
        <f t="shared" si="5"/>
        <v>6.083454467721249</v>
      </c>
      <c r="O33" s="36">
        <f t="shared" si="5"/>
        <v>124.25738959631536</v>
      </c>
      <c r="P33" s="36">
        <f t="shared" si="5"/>
        <v>275.75532316168682</v>
      </c>
      <c r="Q33" s="36">
        <f t="shared" si="5"/>
        <v>103.85193145468394</v>
      </c>
      <c r="R33" s="36">
        <f t="shared" si="5"/>
        <v>203.59138905238376</v>
      </c>
      <c r="S33" s="36">
        <f t="shared" si="5"/>
        <v>120.88203859060403</v>
      </c>
      <c r="T33" s="36">
        <f t="shared" si="5"/>
        <v>163.41594058138045</v>
      </c>
      <c r="U33" s="36">
        <f t="shared" si="5"/>
        <v>129.72224085365855</v>
      </c>
      <c r="V33" s="36">
        <f t="shared" si="5"/>
        <v>35.707971784911059</v>
      </c>
      <c r="W33" s="36">
        <f t="shared" si="5"/>
        <v>27.218627996906417</v>
      </c>
      <c r="X33" s="36">
        <f t="shared" si="5"/>
        <v>62.096599015990165</v>
      </c>
      <c r="Y33" s="36">
        <f t="shared" si="5"/>
        <v>122.78474299580851</v>
      </c>
      <c r="Z33" s="36">
        <f t="shared" si="5"/>
        <v>57.593483412322271</v>
      </c>
      <c r="AA33" s="36">
        <f t="shared" si="5"/>
        <v>99.199732255620106</v>
      </c>
      <c r="AB33" s="36">
        <f t="shared" si="5"/>
        <v>118.28687499999999</v>
      </c>
      <c r="AC33" s="36">
        <f t="shared" si="5"/>
        <v>20.732914578460854</v>
      </c>
      <c r="AD33" s="36">
        <f t="shared" si="5"/>
        <v>61.144734660033173</v>
      </c>
      <c r="AE33" s="36">
        <f t="shared" si="5"/>
        <v>26.097300970873786</v>
      </c>
      <c r="AF33" s="36">
        <f t="shared" si="5"/>
        <v>40.436422535211264</v>
      </c>
      <c r="AG33" s="36">
        <f t="shared" si="5"/>
        <v>55.491259269623619</v>
      </c>
      <c r="AH33" s="36">
        <f t="shared" si="5"/>
        <v>121.1956232019283</v>
      </c>
      <c r="AI33" s="36">
        <f t="shared" ref="AI33:BN33" si="6">AI32/AI12</f>
        <v>156.87660015649453</v>
      </c>
      <c r="AJ33" s="36">
        <f t="shared" si="6"/>
        <v>114.70318791312559</v>
      </c>
      <c r="AK33" s="36">
        <f t="shared" si="6"/>
        <v>64.857822580645163</v>
      </c>
      <c r="AL33" s="36">
        <f t="shared" si="6"/>
        <v>37.611521294021294</v>
      </c>
      <c r="AM33" s="36">
        <f t="shared" si="6"/>
        <v>78.662666028097064</v>
      </c>
      <c r="AN33" s="36">
        <f t="shared" si="6"/>
        <v>168.70462724935734</v>
      </c>
      <c r="AO33" s="36">
        <f t="shared" si="6"/>
        <v>56.003807966359069</v>
      </c>
      <c r="AP33" s="36">
        <f t="shared" si="6"/>
        <v>59.215545101247699</v>
      </c>
      <c r="AQ33" s="36">
        <f t="shared" si="6"/>
        <v>17.56749693251534</v>
      </c>
      <c r="AR33" s="36">
        <f t="shared" si="6"/>
        <v>110.32051542895897</v>
      </c>
      <c r="AS33" s="36">
        <f t="shared" si="6"/>
        <v>16.038178826110805</v>
      </c>
      <c r="AT33" s="36">
        <f t="shared" si="6"/>
        <v>106.83963308095515</v>
      </c>
      <c r="AU33" s="36">
        <f t="shared" si="6"/>
        <v>79.114290505675953</v>
      </c>
      <c r="AV33" s="36">
        <f t="shared" si="6"/>
        <v>72.3293427230047</v>
      </c>
      <c r="AW33" s="36">
        <f t="shared" si="6"/>
        <v>99.152843216896827</v>
      </c>
      <c r="AX33" s="36">
        <f t="shared" si="6"/>
        <v>55.226374089689529</v>
      </c>
      <c r="AY33" s="36">
        <f t="shared" si="6"/>
        <v>165.78875019263367</v>
      </c>
      <c r="AZ33" s="36">
        <f t="shared" si="6"/>
        <v>122.38409453000531</v>
      </c>
      <c r="BA33" s="36">
        <f t="shared" si="6"/>
        <v>139.63174579315907</v>
      </c>
      <c r="BB33" s="36">
        <f t="shared" si="6"/>
        <v>63.31857783806344</v>
      </c>
      <c r="BC33" s="36">
        <f t="shared" si="6"/>
        <v>124.00559478127398</v>
      </c>
      <c r="BD33" s="36">
        <f t="shared" si="6"/>
        <v>57.15313117066291</v>
      </c>
      <c r="BE33" s="36">
        <f t="shared" si="6"/>
        <v>202.924875024995</v>
      </c>
      <c r="BF33" s="36">
        <f t="shared" si="6"/>
        <v>193.00636342883232</v>
      </c>
      <c r="BG33" s="36">
        <f t="shared" si="6"/>
        <v>143.75234704641352</v>
      </c>
      <c r="BH33" s="36">
        <f t="shared" si="6"/>
        <v>-0.44520383693045568</v>
      </c>
      <c r="BI33" s="36">
        <f t="shared" si="6"/>
        <v>194.71927546983184</v>
      </c>
      <c r="BJ33" s="36">
        <f t="shared" si="6"/>
        <v>123.7129157427938</v>
      </c>
      <c r="BK33" s="36">
        <f t="shared" si="6"/>
        <v>149.99571886905957</v>
      </c>
      <c r="BL33" s="36">
        <f t="shared" si="6"/>
        <v>43.628331257783316</v>
      </c>
      <c r="BM33" s="36">
        <f t="shared" si="6"/>
        <v>6.5906568317527219</v>
      </c>
      <c r="BN33" s="36">
        <f t="shared" si="6"/>
        <v>163.33994835164836</v>
      </c>
      <c r="BO33" s="36">
        <f t="shared" ref="BO33:CB33" si="7">BO32/BO12</f>
        <v>22.299791340636411</v>
      </c>
      <c r="BP33" s="36">
        <f t="shared" si="7"/>
        <v>68.744846165859755</v>
      </c>
      <c r="BQ33" s="36">
        <f t="shared" si="7"/>
        <v>117.04756874095514</v>
      </c>
      <c r="BR33" s="36">
        <f t="shared" si="7"/>
        <v>161.76215347721822</v>
      </c>
      <c r="BS33" s="36">
        <f t="shared" si="7"/>
        <v>39.031812666828444</v>
      </c>
      <c r="BT33" s="36">
        <f t="shared" si="7"/>
        <v>256.94233411978973</v>
      </c>
      <c r="BU33" s="36">
        <f t="shared" si="7"/>
        <v>40.67220367278798</v>
      </c>
      <c r="BV33" s="36">
        <f t="shared" si="7"/>
        <v>10.04922941435491</v>
      </c>
      <c r="BW33" s="36">
        <f t="shared" si="7"/>
        <v>79.367873754152825</v>
      </c>
      <c r="BX33" s="36">
        <f t="shared" si="7"/>
        <v>37.671173469387753</v>
      </c>
      <c r="BY33" s="36">
        <f t="shared" si="7"/>
        <v>77.754868014137386</v>
      </c>
      <c r="BZ33" s="36">
        <f t="shared" si="7"/>
        <v>57.039294647323665</v>
      </c>
      <c r="CA33" s="36">
        <f t="shared" si="7"/>
        <v>104.07399094254174</v>
      </c>
      <c r="CB33" s="36">
        <f t="shared" si="7"/>
        <v>75.674161162483486</v>
      </c>
      <c r="CC33" s="33"/>
      <c r="CD33" s="33"/>
    </row>
    <row r="34" spans="1:82" s="32" customFormat="1" x14ac:dyDescent="0.2">
      <c r="A34" s="2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21"/>
      <c r="CD34" s="21"/>
    </row>
    <row r="35" spans="1:82" s="32" customFormat="1" x14ac:dyDescent="0.2">
      <c r="A35" s="21"/>
      <c r="B35" s="32" t="s">
        <v>203</v>
      </c>
      <c r="C35" s="15">
        <f>SUM(D35:CB35)</f>
        <v>9103679.0763432644</v>
      </c>
      <c r="D35" s="15">
        <f t="shared" ref="D35:AI35" si="8">IF(D33-$C33&gt;0,(D33-$C33)*D12*$C29,(D33-$C33)*D12*$C30)</f>
        <v>10213886.76864828</v>
      </c>
      <c r="E35" s="15">
        <f t="shared" si="8"/>
        <v>124530.84385612085</v>
      </c>
      <c r="F35" s="15">
        <f t="shared" si="8"/>
        <v>-38367.669752043141</v>
      </c>
      <c r="G35" s="15">
        <f t="shared" si="8"/>
        <v>-38177.958775174557</v>
      </c>
      <c r="H35" s="15">
        <f t="shared" si="8"/>
        <v>-100165.47619638404</v>
      </c>
      <c r="I35" s="15">
        <f t="shared" si="8"/>
        <v>-133308.83367152372</v>
      </c>
      <c r="J35" s="15">
        <f t="shared" si="8"/>
        <v>-25883.120967893279</v>
      </c>
      <c r="K35" s="15">
        <f t="shared" si="8"/>
        <v>-21058.589948912744</v>
      </c>
      <c r="L35" s="15">
        <f t="shared" si="8"/>
        <v>-37285.202851394271</v>
      </c>
      <c r="M35" s="15">
        <f t="shared" si="8"/>
        <v>-23653.853540026706</v>
      </c>
      <c r="N35" s="15">
        <f t="shared" si="8"/>
        <v>-66213.286028797782</v>
      </c>
      <c r="O35" s="15">
        <f t="shared" si="8"/>
        <v>-34500.416654375869</v>
      </c>
      <c r="P35" s="15">
        <f t="shared" si="8"/>
        <v>725574.56577025226</v>
      </c>
      <c r="Q35" s="15">
        <f t="shared" si="8"/>
        <v>-57474.462900836836</v>
      </c>
      <c r="R35" s="15">
        <f t="shared" si="8"/>
        <v>114103.61577530377</v>
      </c>
      <c r="S35" s="15">
        <f t="shared" si="8"/>
        <v>-31877.994836098645</v>
      </c>
      <c r="T35" s="15">
        <f t="shared" si="8"/>
        <v>73985.360322939086</v>
      </c>
      <c r="U35" s="15">
        <f t="shared" si="8"/>
        <v>-14093.306146792653</v>
      </c>
      <c r="V35" s="15">
        <f t="shared" si="8"/>
        <v>-109477.55281096621</v>
      </c>
      <c r="W35" s="15">
        <f t="shared" si="8"/>
        <v>-155685.85644385533</v>
      </c>
      <c r="X35" s="15">
        <f t="shared" si="8"/>
        <v>-166883.64594311718</v>
      </c>
      <c r="Y35" s="15">
        <f t="shared" si="8"/>
        <v>-22520.469694972344</v>
      </c>
      <c r="Z35" s="15">
        <f t="shared" si="8"/>
        <v>-37993.43624231009</v>
      </c>
      <c r="AA35" s="15">
        <f t="shared" si="8"/>
        <v>-115030.14789569523</v>
      </c>
      <c r="AB35" s="15">
        <f t="shared" si="8"/>
        <v>-8918.8881461191177</v>
      </c>
      <c r="AC35" s="15">
        <f t="shared" si="8"/>
        <v>-227873.38677237078</v>
      </c>
      <c r="AD35" s="15">
        <f t="shared" si="8"/>
        <v>-41718.235742394281</v>
      </c>
      <c r="AE35" s="15">
        <f t="shared" si="8"/>
        <v>-137691.24878800317</v>
      </c>
      <c r="AF35" s="15">
        <f t="shared" si="8"/>
        <v>-76104.119222844005</v>
      </c>
      <c r="AG35" s="15">
        <f t="shared" si="8"/>
        <v>-131696.43048046931</v>
      </c>
      <c r="AH35" s="15">
        <f t="shared" si="8"/>
        <v>-67982.473432393424</v>
      </c>
      <c r="AI35" s="15">
        <f t="shared" si="8"/>
        <v>28375.517757313992</v>
      </c>
      <c r="AJ35" s="15">
        <f t="shared" ref="AJ35:BO35" si="9">IF(AJ33-$C33&gt;0,(AJ33-$C33)*AJ12*$C29,(AJ33-$C33)*AJ12*$C30)</f>
        <v>-34864.54089717153</v>
      </c>
      <c r="AK35" s="15">
        <f t="shared" si="9"/>
        <v>-102631.70033285429</v>
      </c>
      <c r="AL35" s="15">
        <f t="shared" si="9"/>
        <v>-107461.48135897749</v>
      </c>
      <c r="AM35" s="15">
        <f t="shared" si="9"/>
        <v>-86396.416465322473</v>
      </c>
      <c r="AN35" s="15">
        <f t="shared" si="9"/>
        <v>19679.638588102625</v>
      </c>
      <c r="AO35" s="15">
        <f t="shared" si="9"/>
        <v>-156874.35778218802</v>
      </c>
      <c r="AP35" s="15">
        <f t="shared" si="9"/>
        <v>-86447.08068182657</v>
      </c>
      <c r="AQ35" s="15">
        <f t="shared" si="9"/>
        <v>-148395.97937079577</v>
      </c>
      <c r="AR35" s="15">
        <f t="shared" si="9"/>
        <v>-22002.37541638505</v>
      </c>
      <c r="AS35" s="15">
        <f t="shared" si="9"/>
        <v>-47976.672710773128</v>
      </c>
      <c r="AT35" s="15">
        <f t="shared" si="9"/>
        <v>-14005.805866372713</v>
      </c>
      <c r="AU35" s="15">
        <f t="shared" si="9"/>
        <v>-53109.752272603757</v>
      </c>
      <c r="AV35" s="15">
        <f t="shared" si="9"/>
        <v>-44906.52254718895</v>
      </c>
      <c r="AW35" s="15">
        <f t="shared" si="9"/>
        <v>-47735.697941770093</v>
      </c>
      <c r="AX35" s="15">
        <f t="shared" si="9"/>
        <v>-96427.542925295769</v>
      </c>
      <c r="AY35" s="15">
        <f t="shared" si="9"/>
        <v>70717.488019407276</v>
      </c>
      <c r="AZ35" s="15">
        <f t="shared" si="9"/>
        <v>-19011.693169924074</v>
      </c>
      <c r="BA35" s="15">
        <f t="shared" si="9"/>
        <v>-43608.160270849454</v>
      </c>
      <c r="BB35" s="15">
        <f t="shared" si="9"/>
        <v>-161599.16883710897</v>
      </c>
      <c r="BC35" s="15">
        <f t="shared" si="9"/>
        <v>-12310.602268938434</v>
      </c>
      <c r="BD35" s="15">
        <f t="shared" si="9"/>
        <v>-64144.783899994916</v>
      </c>
      <c r="BE35" s="15">
        <f t="shared" si="9"/>
        <v>165931.83625906243</v>
      </c>
      <c r="BF35" s="15">
        <f t="shared" si="9"/>
        <v>238549.97791154683</v>
      </c>
      <c r="BG35" s="15">
        <f t="shared" si="9"/>
        <v>-1468.632424369629</v>
      </c>
      <c r="BH35" s="15">
        <f t="shared" si="9"/>
        <v>-37047.245776838827</v>
      </c>
      <c r="BI35" s="15">
        <f t="shared" si="9"/>
        <v>114268.76663900187</v>
      </c>
      <c r="BJ35" s="15">
        <f t="shared" si="9"/>
        <v>-4313.7982419733171</v>
      </c>
      <c r="BK35" s="15">
        <f t="shared" si="9"/>
        <v>7092.6989709947202</v>
      </c>
      <c r="BL35" s="15">
        <f t="shared" si="9"/>
        <v>-33403.833699123228</v>
      </c>
      <c r="BM35" s="15">
        <f t="shared" si="9"/>
        <v>-80305.13883026391</v>
      </c>
      <c r="BN35" s="15">
        <f t="shared" si="9"/>
        <v>85801.855244044855</v>
      </c>
      <c r="BO35" s="15">
        <f t="shared" si="9"/>
        <v>-96099.617560671526</v>
      </c>
      <c r="BP35" s="15">
        <f t="shared" ref="BP35:CB35" si="10">IF(BP33-$C33&gt;0,(BP33-$C33)*BP12*$C29,(BP33-$C33)*BP12*$C30)</f>
        <v>-101014.33844052679</v>
      </c>
      <c r="BQ35" s="15">
        <f t="shared" si="10"/>
        <v>-80291.066737103858</v>
      </c>
      <c r="BR35" s="15">
        <f t="shared" si="10"/>
        <v>88425.875579029307</v>
      </c>
      <c r="BS35" s="15">
        <f t="shared" si="10"/>
        <v>-89502.771092208481</v>
      </c>
      <c r="BT35" s="15">
        <f t="shared" si="10"/>
        <v>1584593.8051735032</v>
      </c>
      <c r="BU35" s="15">
        <f t="shared" si="10"/>
        <v>-102503.86941855447</v>
      </c>
      <c r="BV35" s="15">
        <f t="shared" si="10"/>
        <v>-124974.12327610068</v>
      </c>
      <c r="BW35" s="15">
        <f t="shared" si="10"/>
        <v>-20545.49217757189</v>
      </c>
      <c r="BX35" s="15">
        <f t="shared" si="10"/>
        <v>-68963.242490940494</v>
      </c>
      <c r="BY35" s="15">
        <f t="shared" si="10"/>
        <v>-253042.83923021384</v>
      </c>
      <c r="BZ35" s="15">
        <f t="shared" si="10"/>
        <v>-36216.294075060599</v>
      </c>
      <c r="CA35" s="15">
        <f t="shared" si="10"/>
        <v>-30773.371125157137</v>
      </c>
      <c r="CB35" s="15">
        <f t="shared" si="10"/>
        <v>-119827.46467285125</v>
      </c>
      <c r="CC35" s="21"/>
      <c r="CD35" s="21"/>
    </row>
    <row r="36" spans="1:82" s="32" customFormat="1" x14ac:dyDescent="0.2">
      <c r="A36" s="2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21"/>
      <c r="CD36" s="21"/>
    </row>
    <row r="37" spans="1:82" s="32" customFormat="1" x14ac:dyDescent="0.2">
      <c r="A37" s="2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21"/>
      <c r="CD37" s="21"/>
    </row>
    <row r="38" spans="1:82" s="32" customFormat="1" x14ac:dyDescent="0.2">
      <c r="A38" s="63" t="s">
        <v>154</v>
      </c>
      <c r="B38" s="61" t="s">
        <v>204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1"/>
      <c r="CD38" s="61"/>
    </row>
    <row r="39" spans="1:82" s="32" customFormat="1" x14ac:dyDescent="0.2">
      <c r="A39" s="2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21"/>
      <c r="CD39" s="21"/>
    </row>
    <row r="40" spans="1:82" x14ac:dyDescent="0.2">
      <c r="B40" s="3" t="s">
        <v>205</v>
      </c>
      <c r="C40" s="10">
        <v>0.6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2" s="32" customFormat="1" x14ac:dyDescent="0.2">
      <c r="A41" s="21"/>
      <c r="B41" s="3" t="s">
        <v>206</v>
      </c>
      <c r="C41" s="76">
        <v>0.2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21"/>
      <c r="CD41" s="21"/>
    </row>
    <row r="42" spans="1:82" s="32" customFormat="1" x14ac:dyDescent="0.2">
      <c r="A42" s="2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21"/>
      <c r="CD42" s="21"/>
    </row>
    <row r="43" spans="1:82" s="30" customFormat="1" x14ac:dyDescent="0.2">
      <c r="A43" s="33"/>
      <c r="B43" s="30" t="s">
        <v>209</v>
      </c>
      <c r="C43" s="36">
        <f>SUM(D43:CB43)</f>
        <v>92304455.900000021</v>
      </c>
      <c r="D43" s="44">
        <v>18152431.550000016</v>
      </c>
      <c r="E43" s="44">
        <v>1897760.4</v>
      </c>
      <c r="F43" s="44">
        <v>143303</v>
      </c>
      <c r="G43" s="44">
        <v>137796.5</v>
      </c>
      <c r="H43" s="44">
        <v>620827.30000000005</v>
      </c>
      <c r="I43" s="44">
        <v>2418929.5999999992</v>
      </c>
      <c r="J43" s="44">
        <v>535016.64999999991</v>
      </c>
      <c r="K43" s="44">
        <v>176807.45</v>
      </c>
      <c r="L43" s="44">
        <v>218495.69999999998</v>
      </c>
      <c r="M43" s="44">
        <v>98038.3</v>
      </c>
      <c r="N43" s="44">
        <v>341055.15</v>
      </c>
      <c r="O43" s="44">
        <v>989516.95</v>
      </c>
      <c r="P43" s="44">
        <v>2143543.5500000003</v>
      </c>
      <c r="Q43" s="44">
        <v>780433.10000000033</v>
      </c>
      <c r="R43" s="44">
        <v>885899.80000000016</v>
      </c>
      <c r="S43" s="44">
        <v>815888.64999999991</v>
      </c>
      <c r="T43" s="44">
        <v>1320616.8499999999</v>
      </c>
      <c r="U43" s="44">
        <v>765462</v>
      </c>
      <c r="V43" s="44">
        <v>945247.15</v>
      </c>
      <c r="W43" s="44">
        <v>765192.4500000003</v>
      </c>
      <c r="X43" s="44">
        <v>821124.04999999993</v>
      </c>
      <c r="Y43" s="44">
        <v>982085.5</v>
      </c>
      <c r="Z43" s="44">
        <v>293044.10000000003</v>
      </c>
      <c r="AA43" s="44">
        <v>2029884.3</v>
      </c>
      <c r="AB43" s="44">
        <v>71470.55</v>
      </c>
      <c r="AC43" s="44">
        <v>738736.10000000009</v>
      </c>
      <c r="AD43" s="44">
        <v>306211.75</v>
      </c>
      <c r="AE43" s="44">
        <v>856010.55</v>
      </c>
      <c r="AF43" s="44">
        <v>630236.9</v>
      </c>
      <c r="AG43" s="44">
        <v>1394395.45</v>
      </c>
      <c r="AH43" s="44">
        <v>2288334.7000000002</v>
      </c>
      <c r="AI43" s="44">
        <v>760263.5</v>
      </c>
      <c r="AJ43" s="44">
        <v>846470.20000000007</v>
      </c>
      <c r="AK43" s="44">
        <v>999172.35</v>
      </c>
      <c r="AL43" s="44">
        <v>436994.54999999987</v>
      </c>
      <c r="AM43" s="44">
        <v>870049.05</v>
      </c>
      <c r="AN43" s="44">
        <v>289520.19999999995</v>
      </c>
      <c r="AO43" s="44">
        <v>1837344.2500000002</v>
      </c>
      <c r="AP43" s="44">
        <v>758200.2</v>
      </c>
      <c r="AQ43" s="44">
        <v>1022411.25</v>
      </c>
      <c r="AR43" s="44">
        <v>938482.79999999993</v>
      </c>
      <c r="AS43" s="44">
        <v>181001</v>
      </c>
      <c r="AT43" s="44">
        <v>251331.25</v>
      </c>
      <c r="AU43" s="44">
        <v>659099.70000000007</v>
      </c>
      <c r="AV43" s="44">
        <v>373848.5</v>
      </c>
      <c r="AW43" s="44">
        <v>530284.19999999995</v>
      </c>
      <c r="AX43" s="44">
        <v>882860.55000000016</v>
      </c>
      <c r="AY43" s="44">
        <v>945553.95</v>
      </c>
      <c r="AZ43" s="44">
        <v>606187.94999999995</v>
      </c>
      <c r="BA43" s="44">
        <v>4279913.3499999987</v>
      </c>
      <c r="BB43" s="44">
        <v>2303349.5500000007</v>
      </c>
      <c r="BC43" s="44">
        <v>455661.2</v>
      </c>
      <c r="BD43" s="44">
        <v>597227.6</v>
      </c>
      <c r="BE43" s="44">
        <v>1166040.3500000001</v>
      </c>
      <c r="BF43" s="44">
        <v>2288655.5</v>
      </c>
      <c r="BG43" s="44">
        <v>480681.1</v>
      </c>
      <c r="BH43" s="44">
        <v>221153.84999999998</v>
      </c>
      <c r="BI43" s="44">
        <v>881909.39999999991</v>
      </c>
      <c r="BJ43" s="44">
        <v>151201.15</v>
      </c>
      <c r="BK43" s="44">
        <v>861192.9</v>
      </c>
      <c r="BL43" s="44">
        <v>159763.15</v>
      </c>
      <c r="BM43" s="44">
        <v>663227.85</v>
      </c>
      <c r="BN43" s="44">
        <v>1649391.3499999999</v>
      </c>
      <c r="BO43" s="44">
        <v>293161.55</v>
      </c>
      <c r="BP43" s="44">
        <v>994579.3</v>
      </c>
      <c r="BQ43" s="44">
        <v>2053281.7000000002</v>
      </c>
      <c r="BR43" s="44">
        <v>1968763.3500000006</v>
      </c>
      <c r="BS43" s="44">
        <v>971236.7</v>
      </c>
      <c r="BT43" s="44">
        <v>5213889.95</v>
      </c>
      <c r="BU43" s="44">
        <v>488663.25</v>
      </c>
      <c r="BV43" s="44">
        <v>454008.2</v>
      </c>
      <c r="BW43" s="44">
        <v>117383.59999999999</v>
      </c>
      <c r="BX43" s="44">
        <v>486162.35</v>
      </c>
      <c r="BY43" s="44">
        <v>3444060.15</v>
      </c>
      <c r="BZ43" s="44">
        <v>184111</v>
      </c>
      <c r="CA43" s="44">
        <v>402911.55</v>
      </c>
      <c r="CB43" s="44">
        <v>1320003.45</v>
      </c>
      <c r="CC43" s="33"/>
      <c r="CD43" s="33"/>
    </row>
    <row r="44" spans="1:82" s="30" customFormat="1" x14ac:dyDescent="0.2">
      <c r="A44" s="33"/>
      <c r="B44" s="30" t="s">
        <v>210</v>
      </c>
      <c r="C44" s="36">
        <f t="shared" ref="C44:AH44" si="11">C43/C12</f>
        <v>180.72902117344844</v>
      </c>
      <c r="D44" s="36">
        <f t="shared" si="11"/>
        <v>238.56527204626121</v>
      </c>
      <c r="E44" s="36">
        <f t="shared" si="11"/>
        <v>195.52445909746547</v>
      </c>
      <c r="F44" s="36">
        <f t="shared" si="11"/>
        <v>103.09568345323741</v>
      </c>
      <c r="G44" s="36">
        <f t="shared" si="11"/>
        <v>112.94795081967213</v>
      </c>
      <c r="H44" s="36">
        <f t="shared" si="11"/>
        <v>169.71768726079827</v>
      </c>
      <c r="I44" s="36">
        <f t="shared" si="11"/>
        <v>254.51700336700327</v>
      </c>
      <c r="J44" s="36">
        <f t="shared" si="11"/>
        <v>148.28621119733921</v>
      </c>
      <c r="K44" s="36">
        <f t="shared" si="11"/>
        <v>207.76433607520565</v>
      </c>
      <c r="L44" s="36">
        <f t="shared" si="11"/>
        <v>151.94415855354657</v>
      </c>
      <c r="M44" s="36">
        <f t="shared" si="11"/>
        <v>93.726864244741876</v>
      </c>
      <c r="N44" s="36">
        <f t="shared" si="11"/>
        <v>145.81237708422404</v>
      </c>
      <c r="O44" s="36">
        <f t="shared" si="11"/>
        <v>134.04456109455433</v>
      </c>
      <c r="P44" s="36">
        <f t="shared" si="11"/>
        <v>227.11840962068237</v>
      </c>
      <c r="Q44" s="36">
        <f t="shared" si="11"/>
        <v>118.87785224676318</v>
      </c>
      <c r="R44" s="36">
        <f t="shared" si="11"/>
        <v>260.71212477928196</v>
      </c>
      <c r="S44" s="36">
        <f t="shared" si="11"/>
        <v>136.8940687919463</v>
      </c>
      <c r="T44" s="36">
        <f t="shared" si="11"/>
        <v>169.11472019464719</v>
      </c>
      <c r="U44" s="36">
        <f t="shared" si="11"/>
        <v>194.47713414634146</v>
      </c>
      <c r="V44" s="36">
        <f t="shared" si="11"/>
        <v>193.26255367000613</v>
      </c>
      <c r="W44" s="36">
        <f t="shared" si="11"/>
        <v>118.35923433874714</v>
      </c>
      <c r="X44" s="36">
        <f t="shared" si="11"/>
        <v>84.166056785567847</v>
      </c>
      <c r="Y44" s="36">
        <f t="shared" si="11"/>
        <v>216.65243767924113</v>
      </c>
      <c r="Z44" s="36">
        <f t="shared" si="11"/>
        <v>138.88345971563982</v>
      </c>
      <c r="AA44" s="36">
        <f t="shared" si="11"/>
        <v>170.90884061631726</v>
      </c>
      <c r="AB44" s="36">
        <f t="shared" si="11"/>
        <v>47.020098684210531</v>
      </c>
      <c r="AC44" s="36">
        <f t="shared" si="11"/>
        <v>82.273760997883969</v>
      </c>
      <c r="AD44" s="36">
        <f t="shared" si="11"/>
        <v>126.95346185737976</v>
      </c>
      <c r="AE44" s="36">
        <f t="shared" si="11"/>
        <v>151.10512797881731</v>
      </c>
      <c r="AF44" s="36">
        <f t="shared" si="11"/>
        <v>177.53152112676057</v>
      </c>
      <c r="AG44" s="36">
        <f t="shared" si="11"/>
        <v>195.10220372184133</v>
      </c>
      <c r="AH44" s="36">
        <f t="shared" si="11"/>
        <v>177.92820931498329</v>
      </c>
      <c r="AI44" s="36">
        <f t="shared" ref="AI44:BN44" si="12">AI43/AI12</f>
        <v>148.72134194053208</v>
      </c>
      <c r="AJ44" s="36">
        <f t="shared" si="12"/>
        <v>159.86217186024552</v>
      </c>
      <c r="AK44" s="36">
        <f t="shared" si="12"/>
        <v>161.15683064516128</v>
      </c>
      <c r="AL44" s="36">
        <f t="shared" si="12"/>
        <v>89.474723587223565</v>
      </c>
      <c r="AM44" s="36">
        <f t="shared" si="12"/>
        <v>138.89671934865902</v>
      </c>
      <c r="AN44" s="36">
        <f t="shared" si="12"/>
        <v>186.06696658097684</v>
      </c>
      <c r="AO44" s="36">
        <f t="shared" si="12"/>
        <v>214.61794766966477</v>
      </c>
      <c r="AP44" s="36">
        <f t="shared" si="12"/>
        <v>155.08287993454692</v>
      </c>
      <c r="AQ44" s="36">
        <f t="shared" si="12"/>
        <v>179.21319018404907</v>
      </c>
      <c r="AR44" s="36">
        <f t="shared" si="12"/>
        <v>318.23763987792472</v>
      </c>
      <c r="AS44" s="36">
        <f t="shared" si="12"/>
        <v>99.287438288535384</v>
      </c>
      <c r="AT44" s="36">
        <f t="shared" si="12"/>
        <v>146.37813046010484</v>
      </c>
      <c r="AU44" s="36">
        <f t="shared" si="12"/>
        <v>170.04636222910219</v>
      </c>
      <c r="AV44" s="36">
        <f t="shared" si="12"/>
        <v>125.36837692823609</v>
      </c>
      <c r="AW44" s="36">
        <f t="shared" si="12"/>
        <v>107.69378554021119</v>
      </c>
      <c r="AX44" s="36">
        <f t="shared" si="12"/>
        <v>169.19519931008051</v>
      </c>
      <c r="AY44" s="36">
        <f t="shared" si="12"/>
        <v>145.71643550624131</v>
      </c>
      <c r="AZ44" s="36">
        <f t="shared" si="12"/>
        <v>160.96334306956982</v>
      </c>
      <c r="BA44" s="36">
        <f t="shared" si="12"/>
        <v>156.90557429336067</v>
      </c>
      <c r="BB44" s="36">
        <f t="shared" si="12"/>
        <v>240.33279945742913</v>
      </c>
      <c r="BC44" s="36">
        <f t="shared" si="12"/>
        <v>174.85080583269379</v>
      </c>
      <c r="BD44" s="36">
        <f t="shared" si="12"/>
        <v>168.47040902679831</v>
      </c>
      <c r="BE44" s="36">
        <f t="shared" si="12"/>
        <v>233.16143771245754</v>
      </c>
      <c r="BF44" s="36">
        <f t="shared" si="12"/>
        <v>261.23222234904694</v>
      </c>
      <c r="BG44" s="36">
        <f t="shared" si="12"/>
        <v>253.52378691983122</v>
      </c>
      <c r="BH44" s="36">
        <f t="shared" si="12"/>
        <v>176.78165467625897</v>
      </c>
      <c r="BI44" s="36">
        <f t="shared" si="12"/>
        <v>218.07848664688424</v>
      </c>
      <c r="BJ44" s="36">
        <f t="shared" si="12"/>
        <v>167.62876940133037</v>
      </c>
      <c r="BK44" s="36">
        <f t="shared" si="12"/>
        <v>172.6875676759575</v>
      </c>
      <c r="BL44" s="36">
        <f t="shared" si="12"/>
        <v>99.478922789539226</v>
      </c>
      <c r="BM44" s="36">
        <f t="shared" si="12"/>
        <v>232.95674394099052</v>
      </c>
      <c r="BN44" s="36">
        <f t="shared" si="12"/>
        <v>181.25179670329669</v>
      </c>
      <c r="BO44" s="36">
        <f t="shared" ref="BO44:CB44" si="13">BO43/BO12</f>
        <v>76.4636280646844</v>
      </c>
      <c r="BP44" s="36">
        <f t="shared" si="13"/>
        <v>155.33020459159769</v>
      </c>
      <c r="BQ44" s="36">
        <f t="shared" si="13"/>
        <v>156.39284789397519</v>
      </c>
      <c r="BR44" s="36">
        <f t="shared" si="13"/>
        <v>188.85020143884898</v>
      </c>
      <c r="BS44" s="36">
        <f t="shared" si="13"/>
        <v>235.67985925746177</v>
      </c>
      <c r="BT44" s="36">
        <f t="shared" si="13"/>
        <v>215.81563599486734</v>
      </c>
      <c r="BU44" s="36">
        <f t="shared" si="13"/>
        <v>101.97480175292154</v>
      </c>
      <c r="BV44" s="36">
        <f t="shared" si="13"/>
        <v>99.957771906649057</v>
      </c>
      <c r="BW44" s="36">
        <f t="shared" si="13"/>
        <v>77.995747508305641</v>
      </c>
      <c r="BX44" s="36">
        <f t="shared" si="13"/>
        <v>155.02625956632653</v>
      </c>
      <c r="BY44" s="36">
        <f t="shared" si="13"/>
        <v>190.19550198807156</v>
      </c>
      <c r="BZ44" s="36">
        <f t="shared" si="13"/>
        <v>92.101550775387693</v>
      </c>
      <c r="CA44" s="36">
        <f t="shared" si="13"/>
        <v>114.04232946504386</v>
      </c>
      <c r="CB44" s="36">
        <f t="shared" si="13"/>
        <v>158.520889876306</v>
      </c>
      <c r="CC44" s="33"/>
      <c r="CD44" s="33"/>
    </row>
    <row r="45" spans="1:82" s="32" customFormat="1" x14ac:dyDescent="0.2">
      <c r="A45" s="2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21"/>
      <c r="CD45" s="21"/>
    </row>
    <row r="46" spans="1:82" s="32" customFormat="1" x14ac:dyDescent="0.2">
      <c r="A46" s="21"/>
      <c r="B46" s="32" t="s">
        <v>204</v>
      </c>
      <c r="C46" s="15">
        <f>SUM(D46:CB46)</f>
        <v>4149851.2326165102</v>
      </c>
      <c r="D46" s="15">
        <f>IF(D44-$C44&gt;0,(D44-$C44)*D12*$C40,(D44-$C44)*D12*$C41)</f>
        <v>2640456.1973473937</v>
      </c>
      <c r="E46" s="15">
        <f t="shared" ref="E46:BP46" si="14">IF(E44-$C44&gt;0,(E44-$C44)*E12*$C40,(E44-$C44)*E12*$C41)</f>
        <v>86162.712294305529</v>
      </c>
      <c r="F46" s="15">
        <f t="shared" si="14"/>
        <v>-21582.067886218669</v>
      </c>
      <c r="G46" s="15">
        <f t="shared" si="14"/>
        <v>-16538.581166321423</v>
      </c>
      <c r="H46" s="15">
        <f t="shared" si="14"/>
        <v>-8055.8918904948659</v>
      </c>
      <c r="I46" s="15">
        <f t="shared" si="14"/>
        <v>420768.58966052701</v>
      </c>
      <c r="J46" s="15">
        <f t="shared" si="14"/>
        <v>-23410.731678760421</v>
      </c>
      <c r="K46" s="15">
        <f t="shared" si="14"/>
        <v>13804.231788837227</v>
      </c>
      <c r="L46" s="15">
        <f t="shared" si="14"/>
        <v>-8278.5264894837801</v>
      </c>
      <c r="M46" s="15">
        <f t="shared" si="14"/>
        <v>-18200.851229485415</v>
      </c>
      <c r="N46" s="15">
        <f t="shared" si="14"/>
        <v>-16334.006104939179</v>
      </c>
      <c r="O46" s="15">
        <f t="shared" si="14"/>
        <v>-68924.936860479283</v>
      </c>
      <c r="P46" s="15">
        <f t="shared" si="14"/>
        <v>262693.82889899629</v>
      </c>
      <c r="Q46" s="15">
        <f t="shared" si="14"/>
        <v>-81210.58480073775</v>
      </c>
      <c r="R46" s="15">
        <f t="shared" si="14"/>
        <v>163069.55163157338</v>
      </c>
      <c r="S46" s="15">
        <f t="shared" si="14"/>
        <v>-52251.263238750566</v>
      </c>
      <c r="T46" s="15">
        <f t="shared" si="14"/>
        <v>-18139.215268691798</v>
      </c>
      <c r="U46" s="15">
        <f t="shared" si="14"/>
        <v>32467.543596784133</v>
      </c>
      <c r="V46" s="15">
        <f t="shared" si="14"/>
        <v>36780.904464398176</v>
      </c>
      <c r="W46" s="15">
        <f t="shared" si="14"/>
        <v>-80644.134377268783</v>
      </c>
      <c r="X46" s="15">
        <f t="shared" si="14"/>
        <v>-188413.65611363263</v>
      </c>
      <c r="Y46" s="15">
        <f t="shared" si="14"/>
        <v>97704.508212454952</v>
      </c>
      <c r="Z46" s="15">
        <f t="shared" si="14"/>
        <v>-17658.826935195244</v>
      </c>
      <c r="AA46" s="15">
        <f t="shared" si="14"/>
        <v>-23326.856895409408</v>
      </c>
      <c r="AB46" s="15">
        <f t="shared" si="14"/>
        <v>-40647.512436728335</v>
      </c>
      <c r="AC46" s="15">
        <f t="shared" si="14"/>
        <v>-176805.95622327868</v>
      </c>
      <c r="AD46" s="15">
        <f t="shared" si="14"/>
        <v>-25941.329814071534</v>
      </c>
      <c r="AE46" s="15">
        <f t="shared" si="14"/>
        <v>-33563.870989517076</v>
      </c>
      <c r="AF46" s="15">
        <f t="shared" si="14"/>
        <v>-2270.2250331483933</v>
      </c>
      <c r="AG46" s="15">
        <f t="shared" si="14"/>
        <v>61635.08140401839</v>
      </c>
      <c r="AH46" s="15">
        <f t="shared" si="14"/>
        <v>-7204.2482623440656</v>
      </c>
      <c r="AI46" s="15">
        <f t="shared" si="14"/>
        <v>-32724.651247733687</v>
      </c>
      <c r="AJ46" s="15">
        <f t="shared" si="14"/>
        <v>-22097.993422681891</v>
      </c>
      <c r="AK46" s="15">
        <f t="shared" si="14"/>
        <v>-24269.516255076087</v>
      </c>
      <c r="AL46" s="15">
        <f t="shared" si="14"/>
        <v>-89137.197882224471</v>
      </c>
      <c r="AM46" s="15">
        <f t="shared" si="14"/>
        <v>-52407.507726096199</v>
      </c>
      <c r="AN46" s="15">
        <f t="shared" si="14"/>
        <v>4983.5058324685097</v>
      </c>
      <c r="AO46" s="15">
        <f t="shared" si="14"/>
        <v>174073.85984046478</v>
      </c>
      <c r="AP46" s="15">
        <f t="shared" si="14"/>
        <v>-25076.79690339791</v>
      </c>
      <c r="AQ46" s="15">
        <f t="shared" si="14"/>
        <v>-1729.563158904688</v>
      </c>
      <c r="AR46" s="15">
        <f t="shared" si="14"/>
        <v>243307.74993570033</v>
      </c>
      <c r="AS46" s="15">
        <f t="shared" si="14"/>
        <v>-29693.601119839303</v>
      </c>
      <c r="AT46" s="15">
        <f t="shared" si="14"/>
        <v>-11796.095870962194</v>
      </c>
      <c r="AU46" s="15">
        <f t="shared" si="14"/>
        <v>-8281.1972136572203</v>
      </c>
      <c r="AV46" s="15">
        <f t="shared" si="14"/>
        <v>-33017.088227844652</v>
      </c>
      <c r="AW46" s="15">
        <f t="shared" si="14"/>
        <v>-71925.100051612055</v>
      </c>
      <c r="AX46" s="15">
        <f t="shared" si="14"/>
        <v>-12036.696496610777</v>
      </c>
      <c r="AY46" s="15">
        <f t="shared" si="14"/>
        <v>-45439.333678901421</v>
      </c>
      <c r="AZ46" s="15">
        <f t="shared" si="14"/>
        <v>-14887.508747841384</v>
      </c>
      <c r="BA46" s="15">
        <f t="shared" si="14"/>
        <v>-129966.43210963084</v>
      </c>
      <c r="BB46" s="15">
        <f t="shared" si="14"/>
        <v>342745.56664420251</v>
      </c>
      <c r="BC46" s="15">
        <f t="shared" si="14"/>
        <v>-3063.725835601324</v>
      </c>
      <c r="BD46" s="15">
        <f t="shared" si="14"/>
        <v>-8691.3560119749473</v>
      </c>
      <c r="BE46" s="15">
        <f t="shared" si="14"/>
        <v>157328.70906695069</v>
      </c>
      <c r="BF46" s="15">
        <f t="shared" si="14"/>
        <v>423173.12729965104</v>
      </c>
      <c r="BG46" s="15">
        <f t="shared" si="14"/>
        <v>82811.325513085045</v>
      </c>
      <c r="BH46" s="15">
        <f t="shared" si="14"/>
        <v>-987.63109759680742</v>
      </c>
      <c r="BI46" s="15">
        <f t="shared" si="14"/>
        <v>90624.743024744617</v>
      </c>
      <c r="BJ46" s="15">
        <f t="shared" si="14"/>
        <v>-2363.2854196901003</v>
      </c>
      <c r="BK46" s="15">
        <f t="shared" si="14"/>
        <v>-8020.5457183974722</v>
      </c>
      <c r="BL46" s="15">
        <f t="shared" si="14"/>
        <v>-26097.531600911643</v>
      </c>
      <c r="BM46" s="15">
        <f t="shared" si="14"/>
        <v>89215.396031515367</v>
      </c>
      <c r="BN46" s="15">
        <f t="shared" si="14"/>
        <v>2854.3543929714251</v>
      </c>
      <c r="BO46" s="15">
        <f t="shared" si="14"/>
        <v>-79950.703435800271</v>
      </c>
      <c r="BP46" s="15">
        <f t="shared" si="14"/>
        <v>-32525.724514718077</v>
      </c>
      <c r="BQ46" s="15">
        <f t="shared" ref="BQ46:CB46" si="15">IF(BQ44-$C44&gt;0,(BQ44-$C44)*BQ12*$C40,(BQ44-$C44)*BQ12*$C41)</f>
        <v>-63901.923797240881</v>
      </c>
      <c r="BR46" s="15">
        <f t="shared" si="15"/>
        <v>50797.982560080374</v>
      </c>
      <c r="BS46" s="15">
        <f t="shared" si="15"/>
        <v>135871.44224653134</v>
      </c>
      <c r="BT46" s="15">
        <f t="shared" si="15"/>
        <v>508594.51648239535</v>
      </c>
      <c r="BU46" s="15">
        <f t="shared" si="15"/>
        <v>-75478.043892632981</v>
      </c>
      <c r="BV46" s="15">
        <f t="shared" si="15"/>
        <v>-73372.602833960569</v>
      </c>
      <c r="BW46" s="15">
        <f t="shared" si="15"/>
        <v>-30922.715373207986</v>
      </c>
      <c r="BX46" s="15">
        <f t="shared" si="15"/>
        <v>-16120.772079986864</v>
      </c>
      <c r="BY46" s="15">
        <f t="shared" si="15"/>
        <v>102851.42075471717</v>
      </c>
      <c r="BZ46" s="15">
        <f t="shared" si="15"/>
        <v>-35433.262665144684</v>
      </c>
      <c r="CA46" s="15">
        <f t="shared" si="15"/>
        <v>-47120.816361158679</v>
      </c>
      <c r="CB46" s="15">
        <f t="shared" si="15"/>
        <v>-36985.421862261028</v>
      </c>
      <c r="CC46" s="21"/>
      <c r="CD46" s="21"/>
    </row>
    <row r="47" spans="1:82" s="32" customFormat="1" x14ac:dyDescent="0.2">
      <c r="A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21"/>
      <c r="CD47" s="21"/>
    </row>
    <row r="48" spans="1:82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2" s="57" customFormat="1" ht="15.75" x14ac:dyDescent="0.25">
      <c r="A49" s="69" t="s">
        <v>104</v>
      </c>
      <c r="B49" s="69" t="s">
        <v>161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69"/>
      <c r="CD49" s="69"/>
    </row>
    <row r="50" spans="1:82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2" x14ac:dyDescent="0.2">
      <c r="B51" s="3" t="s">
        <v>202</v>
      </c>
      <c r="C51" s="5">
        <f>SUM(D51:CB51)</f>
        <v>7307885.8634171113</v>
      </c>
      <c r="D51" s="5">
        <f t="shared" ref="D51:BO51" si="16">D24</f>
        <v>5005096.75834045</v>
      </c>
      <c r="E51" s="5">
        <f t="shared" si="16"/>
        <v>92835.064157240253</v>
      </c>
      <c r="F51" s="5">
        <f t="shared" si="16"/>
        <v>0</v>
      </c>
      <c r="G51" s="5">
        <f t="shared" si="16"/>
        <v>10567.818536146013</v>
      </c>
      <c r="H51" s="5">
        <f t="shared" si="16"/>
        <v>0</v>
      </c>
      <c r="I51" s="5">
        <f t="shared" si="16"/>
        <v>31837.103219288259</v>
      </c>
      <c r="J51" s="5">
        <f t="shared" si="16"/>
        <v>0</v>
      </c>
      <c r="K51" s="5">
        <f t="shared" si="16"/>
        <v>0</v>
      </c>
      <c r="L51" s="5">
        <f t="shared" si="16"/>
        <v>0</v>
      </c>
      <c r="M51" s="5">
        <f t="shared" si="16"/>
        <v>0</v>
      </c>
      <c r="N51" s="5">
        <f t="shared" si="16"/>
        <v>0</v>
      </c>
      <c r="O51" s="5">
        <f t="shared" si="16"/>
        <v>48887.764257237548</v>
      </c>
      <c r="P51" s="5">
        <f t="shared" si="16"/>
        <v>367173.37572470988</v>
      </c>
      <c r="Q51" s="5">
        <f t="shared" si="16"/>
        <v>0</v>
      </c>
      <c r="R51" s="5">
        <f t="shared" si="16"/>
        <v>0</v>
      </c>
      <c r="S51" s="5">
        <f t="shared" si="16"/>
        <v>197931.04678313955</v>
      </c>
      <c r="T51" s="5">
        <f t="shared" si="16"/>
        <v>0</v>
      </c>
      <c r="U51" s="5">
        <f t="shared" si="16"/>
        <v>0</v>
      </c>
      <c r="V51" s="5">
        <f t="shared" si="16"/>
        <v>0</v>
      </c>
      <c r="W51" s="5">
        <f t="shared" si="16"/>
        <v>0</v>
      </c>
      <c r="X51" s="5">
        <f t="shared" si="16"/>
        <v>0</v>
      </c>
      <c r="Y51" s="5">
        <f t="shared" si="16"/>
        <v>24749.113741270339</v>
      </c>
      <c r="Z51" s="5">
        <f t="shared" si="16"/>
        <v>0</v>
      </c>
      <c r="AA51" s="5">
        <f t="shared" si="16"/>
        <v>274237.53168344765</v>
      </c>
      <c r="AB51" s="5">
        <f t="shared" si="16"/>
        <v>0</v>
      </c>
      <c r="AC51" s="5">
        <f t="shared" si="16"/>
        <v>0</v>
      </c>
      <c r="AD51" s="5">
        <f t="shared" si="16"/>
        <v>0</v>
      </c>
      <c r="AE51" s="5">
        <f t="shared" si="16"/>
        <v>0</v>
      </c>
      <c r="AF51" s="5">
        <f t="shared" si="16"/>
        <v>0</v>
      </c>
      <c r="AG51" s="5">
        <f t="shared" si="16"/>
        <v>0</v>
      </c>
      <c r="AH51" s="5">
        <f t="shared" si="16"/>
        <v>0</v>
      </c>
      <c r="AI51" s="5">
        <f t="shared" si="16"/>
        <v>0</v>
      </c>
      <c r="AJ51" s="5">
        <f t="shared" si="16"/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0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0</v>
      </c>
      <c r="AZ51" s="5">
        <f t="shared" si="16"/>
        <v>0</v>
      </c>
      <c r="BA51" s="5">
        <f t="shared" si="16"/>
        <v>473736.65241840534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36699.288884644397</v>
      </c>
      <c r="BF51" s="5">
        <f t="shared" si="16"/>
        <v>0</v>
      </c>
      <c r="BG51" s="5">
        <f t="shared" si="16"/>
        <v>106209.25129879739</v>
      </c>
      <c r="BH51" s="5">
        <f t="shared" si="16"/>
        <v>0</v>
      </c>
      <c r="BI51" s="5">
        <f t="shared" si="16"/>
        <v>117994.14321325773</v>
      </c>
      <c r="BJ51" s="5">
        <f t="shared" si="16"/>
        <v>0</v>
      </c>
      <c r="BK51" s="5">
        <f t="shared" si="16"/>
        <v>0</v>
      </c>
      <c r="BL51" s="5">
        <f t="shared" si="16"/>
        <v>0</v>
      </c>
      <c r="BM51" s="5">
        <f t="shared" si="16"/>
        <v>0</v>
      </c>
      <c r="BN51" s="5">
        <f t="shared" si="16"/>
        <v>0</v>
      </c>
      <c r="BO51" s="5">
        <f t="shared" si="16"/>
        <v>0</v>
      </c>
      <c r="BP51" s="5">
        <f t="shared" ref="BP51:CB51" si="17">BP24</f>
        <v>0</v>
      </c>
      <c r="BQ51" s="5">
        <f t="shared" si="17"/>
        <v>0</v>
      </c>
      <c r="BR51" s="5">
        <f t="shared" si="17"/>
        <v>114873.65880272303</v>
      </c>
      <c r="BS51" s="5">
        <f t="shared" si="17"/>
        <v>0</v>
      </c>
      <c r="BT51" s="5">
        <f t="shared" si="17"/>
        <v>405057.29235635389</v>
      </c>
      <c r="BU51" s="5">
        <f t="shared" si="17"/>
        <v>0</v>
      </c>
      <c r="BV51" s="5">
        <f t="shared" si="17"/>
        <v>0</v>
      </c>
      <c r="BW51" s="5">
        <f t="shared" si="17"/>
        <v>0</v>
      </c>
      <c r="BX51" s="5">
        <f t="shared" si="17"/>
        <v>0</v>
      </c>
      <c r="BY51" s="5">
        <f t="shared" si="17"/>
        <v>0</v>
      </c>
      <c r="BZ51" s="5">
        <f t="shared" si="17"/>
        <v>0</v>
      </c>
      <c r="CA51" s="5">
        <f t="shared" si="17"/>
        <v>0</v>
      </c>
      <c r="CB51" s="5">
        <f t="shared" si="17"/>
        <v>0</v>
      </c>
    </row>
    <row r="52" spans="1:82" x14ac:dyDescent="0.2">
      <c r="B52" s="3" t="s">
        <v>203</v>
      </c>
      <c r="C52" s="5">
        <f t="shared" ref="C52:C53" si="18">SUM(D52:CB52)</f>
        <v>9103679.0763432644</v>
      </c>
      <c r="D52" s="5">
        <f t="shared" ref="D52:BO52" si="19">D35</f>
        <v>10213886.76864828</v>
      </c>
      <c r="E52" s="5">
        <f t="shared" si="19"/>
        <v>124530.84385612085</v>
      </c>
      <c r="F52" s="5">
        <f t="shared" si="19"/>
        <v>-38367.669752043141</v>
      </c>
      <c r="G52" s="5">
        <f t="shared" si="19"/>
        <v>-38177.958775174557</v>
      </c>
      <c r="H52" s="5">
        <f t="shared" si="19"/>
        <v>-100165.47619638404</v>
      </c>
      <c r="I52" s="5">
        <f t="shared" si="19"/>
        <v>-133308.83367152372</v>
      </c>
      <c r="J52" s="5">
        <f t="shared" si="19"/>
        <v>-25883.120967893279</v>
      </c>
      <c r="K52" s="5">
        <f t="shared" si="19"/>
        <v>-21058.589948912744</v>
      </c>
      <c r="L52" s="5">
        <f t="shared" si="19"/>
        <v>-37285.202851394271</v>
      </c>
      <c r="M52" s="5">
        <f t="shared" si="19"/>
        <v>-23653.853540026706</v>
      </c>
      <c r="N52" s="5">
        <f t="shared" si="19"/>
        <v>-66213.286028797782</v>
      </c>
      <c r="O52" s="5">
        <f t="shared" si="19"/>
        <v>-34500.416654375869</v>
      </c>
      <c r="P52" s="5">
        <f t="shared" si="19"/>
        <v>725574.56577025226</v>
      </c>
      <c r="Q52" s="5">
        <f t="shared" si="19"/>
        <v>-57474.462900836836</v>
      </c>
      <c r="R52" s="5">
        <f t="shared" si="19"/>
        <v>114103.61577530377</v>
      </c>
      <c r="S52" s="5">
        <f t="shared" si="19"/>
        <v>-31877.994836098645</v>
      </c>
      <c r="T52" s="5">
        <f t="shared" si="19"/>
        <v>73985.360322939086</v>
      </c>
      <c r="U52" s="5">
        <f t="shared" si="19"/>
        <v>-14093.306146792653</v>
      </c>
      <c r="V52" s="5">
        <f t="shared" si="19"/>
        <v>-109477.55281096621</v>
      </c>
      <c r="W52" s="5">
        <f t="shared" si="19"/>
        <v>-155685.85644385533</v>
      </c>
      <c r="X52" s="5">
        <f t="shared" si="19"/>
        <v>-166883.64594311718</v>
      </c>
      <c r="Y52" s="5">
        <f t="shared" si="19"/>
        <v>-22520.469694972344</v>
      </c>
      <c r="Z52" s="5">
        <f t="shared" si="19"/>
        <v>-37993.43624231009</v>
      </c>
      <c r="AA52" s="5">
        <f t="shared" si="19"/>
        <v>-115030.14789569523</v>
      </c>
      <c r="AB52" s="5">
        <f t="shared" si="19"/>
        <v>-8918.8881461191177</v>
      </c>
      <c r="AC52" s="5">
        <f t="shared" si="19"/>
        <v>-227873.38677237078</v>
      </c>
      <c r="AD52" s="5">
        <f t="shared" si="19"/>
        <v>-41718.235742394281</v>
      </c>
      <c r="AE52" s="5">
        <f t="shared" si="19"/>
        <v>-137691.24878800317</v>
      </c>
      <c r="AF52" s="5">
        <f t="shared" si="19"/>
        <v>-76104.119222844005</v>
      </c>
      <c r="AG52" s="5">
        <f t="shared" si="19"/>
        <v>-131696.43048046931</v>
      </c>
      <c r="AH52" s="5">
        <f t="shared" si="19"/>
        <v>-67982.473432393424</v>
      </c>
      <c r="AI52" s="5">
        <f t="shared" si="19"/>
        <v>28375.517757313992</v>
      </c>
      <c r="AJ52" s="5">
        <f t="shared" si="19"/>
        <v>-34864.54089717153</v>
      </c>
      <c r="AK52" s="5">
        <f t="shared" si="19"/>
        <v>-102631.70033285429</v>
      </c>
      <c r="AL52" s="5">
        <f t="shared" si="19"/>
        <v>-107461.48135897749</v>
      </c>
      <c r="AM52" s="5">
        <f t="shared" si="19"/>
        <v>-86396.416465322473</v>
      </c>
      <c r="AN52" s="5">
        <f t="shared" si="19"/>
        <v>19679.638588102625</v>
      </c>
      <c r="AO52" s="5">
        <f t="shared" si="19"/>
        <v>-156874.35778218802</v>
      </c>
      <c r="AP52" s="5">
        <f t="shared" si="19"/>
        <v>-86447.08068182657</v>
      </c>
      <c r="AQ52" s="5">
        <f t="shared" si="19"/>
        <v>-148395.97937079577</v>
      </c>
      <c r="AR52" s="5">
        <f t="shared" si="19"/>
        <v>-22002.37541638505</v>
      </c>
      <c r="AS52" s="5">
        <f t="shared" si="19"/>
        <v>-47976.672710773128</v>
      </c>
      <c r="AT52" s="5">
        <f t="shared" si="19"/>
        <v>-14005.805866372713</v>
      </c>
      <c r="AU52" s="5">
        <f t="shared" si="19"/>
        <v>-53109.752272603757</v>
      </c>
      <c r="AV52" s="5">
        <f t="shared" si="19"/>
        <v>-44906.52254718895</v>
      </c>
      <c r="AW52" s="5">
        <f t="shared" si="19"/>
        <v>-47735.697941770093</v>
      </c>
      <c r="AX52" s="5">
        <f t="shared" si="19"/>
        <v>-96427.542925295769</v>
      </c>
      <c r="AY52" s="5">
        <f t="shared" si="19"/>
        <v>70717.488019407276</v>
      </c>
      <c r="AZ52" s="5">
        <f t="shared" si="19"/>
        <v>-19011.693169924074</v>
      </c>
      <c r="BA52" s="5">
        <f t="shared" si="19"/>
        <v>-43608.160270849454</v>
      </c>
      <c r="BB52" s="5">
        <f t="shared" si="19"/>
        <v>-161599.16883710897</v>
      </c>
      <c r="BC52" s="5">
        <f t="shared" si="19"/>
        <v>-12310.602268938434</v>
      </c>
      <c r="BD52" s="5">
        <f t="shared" si="19"/>
        <v>-64144.783899994916</v>
      </c>
      <c r="BE52" s="5">
        <f t="shared" si="19"/>
        <v>165931.83625906243</v>
      </c>
      <c r="BF52" s="5">
        <f t="shared" si="19"/>
        <v>238549.97791154683</v>
      </c>
      <c r="BG52" s="5">
        <f t="shared" si="19"/>
        <v>-1468.632424369629</v>
      </c>
      <c r="BH52" s="5">
        <f t="shared" si="19"/>
        <v>-37047.245776838827</v>
      </c>
      <c r="BI52" s="5">
        <f t="shared" si="19"/>
        <v>114268.76663900187</v>
      </c>
      <c r="BJ52" s="5">
        <f t="shared" si="19"/>
        <v>-4313.7982419733171</v>
      </c>
      <c r="BK52" s="5">
        <f t="shared" si="19"/>
        <v>7092.6989709947202</v>
      </c>
      <c r="BL52" s="5">
        <f t="shared" si="19"/>
        <v>-33403.833699123228</v>
      </c>
      <c r="BM52" s="5">
        <f t="shared" si="19"/>
        <v>-80305.13883026391</v>
      </c>
      <c r="BN52" s="5">
        <f t="shared" si="19"/>
        <v>85801.855244044855</v>
      </c>
      <c r="BO52" s="5">
        <f t="shared" si="19"/>
        <v>-96099.617560671526</v>
      </c>
      <c r="BP52" s="5">
        <f t="shared" ref="BP52:CB52" si="20">BP35</f>
        <v>-101014.33844052679</v>
      </c>
      <c r="BQ52" s="5">
        <f t="shared" si="20"/>
        <v>-80291.066737103858</v>
      </c>
      <c r="BR52" s="5">
        <f t="shared" si="20"/>
        <v>88425.875579029307</v>
      </c>
      <c r="BS52" s="5">
        <f t="shared" si="20"/>
        <v>-89502.771092208481</v>
      </c>
      <c r="BT52" s="5">
        <f t="shared" si="20"/>
        <v>1584593.8051735032</v>
      </c>
      <c r="BU52" s="5">
        <f t="shared" si="20"/>
        <v>-102503.86941855447</v>
      </c>
      <c r="BV52" s="5">
        <f t="shared" si="20"/>
        <v>-124974.12327610068</v>
      </c>
      <c r="BW52" s="5">
        <f t="shared" si="20"/>
        <v>-20545.49217757189</v>
      </c>
      <c r="BX52" s="5">
        <f t="shared" si="20"/>
        <v>-68963.242490940494</v>
      </c>
      <c r="BY52" s="5">
        <f t="shared" si="20"/>
        <v>-253042.83923021384</v>
      </c>
      <c r="BZ52" s="5">
        <f t="shared" si="20"/>
        <v>-36216.294075060599</v>
      </c>
      <c r="CA52" s="5">
        <f t="shared" si="20"/>
        <v>-30773.371125157137</v>
      </c>
      <c r="CB52" s="5">
        <f t="shared" si="20"/>
        <v>-119827.46467285125</v>
      </c>
    </row>
    <row r="53" spans="1:82" x14ac:dyDescent="0.2">
      <c r="B53" s="38" t="s">
        <v>204</v>
      </c>
      <c r="C53" s="5">
        <f t="shared" si="18"/>
        <v>4149851.2326165102</v>
      </c>
      <c r="D53" s="5">
        <f t="shared" ref="D53:BO53" si="21">D46</f>
        <v>2640456.1973473937</v>
      </c>
      <c r="E53" s="5">
        <f t="shared" si="21"/>
        <v>86162.712294305529</v>
      </c>
      <c r="F53" s="5">
        <f t="shared" si="21"/>
        <v>-21582.067886218669</v>
      </c>
      <c r="G53" s="5">
        <f t="shared" si="21"/>
        <v>-16538.581166321423</v>
      </c>
      <c r="H53" s="5">
        <f t="shared" si="21"/>
        <v>-8055.8918904948659</v>
      </c>
      <c r="I53" s="5">
        <f t="shared" si="21"/>
        <v>420768.58966052701</v>
      </c>
      <c r="J53" s="5">
        <f t="shared" si="21"/>
        <v>-23410.731678760421</v>
      </c>
      <c r="K53" s="5">
        <f t="shared" si="21"/>
        <v>13804.231788837227</v>
      </c>
      <c r="L53" s="5">
        <f t="shared" si="21"/>
        <v>-8278.5264894837801</v>
      </c>
      <c r="M53" s="5">
        <f t="shared" si="21"/>
        <v>-18200.851229485415</v>
      </c>
      <c r="N53" s="5">
        <f t="shared" si="21"/>
        <v>-16334.006104939179</v>
      </c>
      <c r="O53" s="5">
        <f t="shared" si="21"/>
        <v>-68924.936860479283</v>
      </c>
      <c r="P53" s="5">
        <f t="shared" si="21"/>
        <v>262693.82889899629</v>
      </c>
      <c r="Q53" s="5">
        <f t="shared" si="21"/>
        <v>-81210.58480073775</v>
      </c>
      <c r="R53" s="5">
        <f t="shared" si="21"/>
        <v>163069.55163157338</v>
      </c>
      <c r="S53" s="5">
        <f t="shared" si="21"/>
        <v>-52251.263238750566</v>
      </c>
      <c r="T53" s="5">
        <f t="shared" si="21"/>
        <v>-18139.215268691798</v>
      </c>
      <c r="U53" s="5">
        <f t="shared" si="21"/>
        <v>32467.543596784133</v>
      </c>
      <c r="V53" s="5">
        <f t="shared" si="21"/>
        <v>36780.904464398176</v>
      </c>
      <c r="W53" s="5">
        <f t="shared" si="21"/>
        <v>-80644.134377268783</v>
      </c>
      <c r="X53" s="5">
        <f t="shared" si="21"/>
        <v>-188413.65611363263</v>
      </c>
      <c r="Y53" s="5">
        <f t="shared" si="21"/>
        <v>97704.508212454952</v>
      </c>
      <c r="Z53" s="5">
        <f t="shared" si="21"/>
        <v>-17658.826935195244</v>
      </c>
      <c r="AA53" s="5">
        <f t="shared" si="21"/>
        <v>-23326.856895409408</v>
      </c>
      <c r="AB53" s="5">
        <f t="shared" si="21"/>
        <v>-40647.512436728335</v>
      </c>
      <c r="AC53" s="5">
        <f t="shared" si="21"/>
        <v>-176805.95622327868</v>
      </c>
      <c r="AD53" s="5">
        <f t="shared" si="21"/>
        <v>-25941.329814071534</v>
      </c>
      <c r="AE53" s="5">
        <f t="shared" si="21"/>
        <v>-33563.870989517076</v>
      </c>
      <c r="AF53" s="5">
        <f t="shared" si="21"/>
        <v>-2270.2250331483933</v>
      </c>
      <c r="AG53" s="5">
        <f t="shared" si="21"/>
        <v>61635.08140401839</v>
      </c>
      <c r="AH53" s="5">
        <f t="shared" si="21"/>
        <v>-7204.2482623440656</v>
      </c>
      <c r="AI53" s="5">
        <f t="shared" si="21"/>
        <v>-32724.651247733687</v>
      </c>
      <c r="AJ53" s="5">
        <f t="shared" si="21"/>
        <v>-22097.993422681891</v>
      </c>
      <c r="AK53" s="5">
        <f t="shared" si="21"/>
        <v>-24269.516255076087</v>
      </c>
      <c r="AL53" s="5">
        <f t="shared" si="21"/>
        <v>-89137.197882224471</v>
      </c>
      <c r="AM53" s="5">
        <f t="shared" si="21"/>
        <v>-52407.507726096199</v>
      </c>
      <c r="AN53" s="5">
        <f t="shared" si="21"/>
        <v>4983.5058324685097</v>
      </c>
      <c r="AO53" s="5">
        <f t="shared" si="21"/>
        <v>174073.85984046478</v>
      </c>
      <c r="AP53" s="5">
        <f t="shared" si="21"/>
        <v>-25076.79690339791</v>
      </c>
      <c r="AQ53" s="5">
        <f t="shared" si="21"/>
        <v>-1729.563158904688</v>
      </c>
      <c r="AR53" s="5">
        <f t="shared" si="21"/>
        <v>243307.74993570033</v>
      </c>
      <c r="AS53" s="5">
        <f t="shared" si="21"/>
        <v>-29693.601119839303</v>
      </c>
      <c r="AT53" s="5">
        <f t="shared" si="21"/>
        <v>-11796.095870962194</v>
      </c>
      <c r="AU53" s="5">
        <f t="shared" si="21"/>
        <v>-8281.1972136572203</v>
      </c>
      <c r="AV53" s="5">
        <f t="shared" si="21"/>
        <v>-33017.088227844652</v>
      </c>
      <c r="AW53" s="5">
        <f t="shared" si="21"/>
        <v>-71925.100051612055</v>
      </c>
      <c r="AX53" s="5">
        <f t="shared" si="21"/>
        <v>-12036.696496610777</v>
      </c>
      <c r="AY53" s="5">
        <f t="shared" si="21"/>
        <v>-45439.333678901421</v>
      </c>
      <c r="AZ53" s="5">
        <f t="shared" si="21"/>
        <v>-14887.508747841384</v>
      </c>
      <c r="BA53" s="5">
        <f t="shared" si="21"/>
        <v>-129966.43210963084</v>
      </c>
      <c r="BB53" s="5">
        <f t="shared" si="21"/>
        <v>342745.56664420251</v>
      </c>
      <c r="BC53" s="5">
        <f t="shared" si="21"/>
        <v>-3063.725835601324</v>
      </c>
      <c r="BD53" s="5">
        <f t="shared" si="21"/>
        <v>-8691.3560119749473</v>
      </c>
      <c r="BE53" s="5">
        <f t="shared" si="21"/>
        <v>157328.70906695069</v>
      </c>
      <c r="BF53" s="5">
        <f t="shared" si="21"/>
        <v>423173.12729965104</v>
      </c>
      <c r="BG53" s="5">
        <f t="shared" si="21"/>
        <v>82811.325513085045</v>
      </c>
      <c r="BH53" s="5">
        <f t="shared" si="21"/>
        <v>-987.63109759680742</v>
      </c>
      <c r="BI53" s="5">
        <f t="shared" si="21"/>
        <v>90624.743024744617</v>
      </c>
      <c r="BJ53" s="5">
        <f t="shared" si="21"/>
        <v>-2363.2854196901003</v>
      </c>
      <c r="BK53" s="5">
        <f t="shared" si="21"/>
        <v>-8020.5457183974722</v>
      </c>
      <c r="BL53" s="5">
        <f t="shared" si="21"/>
        <v>-26097.531600911643</v>
      </c>
      <c r="BM53" s="5">
        <f t="shared" si="21"/>
        <v>89215.396031515367</v>
      </c>
      <c r="BN53" s="5">
        <f t="shared" si="21"/>
        <v>2854.3543929714251</v>
      </c>
      <c r="BO53" s="5">
        <f t="shared" si="21"/>
        <v>-79950.703435800271</v>
      </c>
      <c r="BP53" s="5">
        <f t="shared" ref="BP53:CB53" si="22">BP46</f>
        <v>-32525.724514718077</v>
      </c>
      <c r="BQ53" s="5">
        <f t="shared" si="22"/>
        <v>-63901.923797240881</v>
      </c>
      <c r="BR53" s="5">
        <f t="shared" si="22"/>
        <v>50797.982560080374</v>
      </c>
      <c r="BS53" s="5">
        <f t="shared" si="22"/>
        <v>135871.44224653134</v>
      </c>
      <c r="BT53" s="5">
        <f t="shared" si="22"/>
        <v>508594.51648239535</v>
      </c>
      <c r="BU53" s="5">
        <f t="shared" si="22"/>
        <v>-75478.043892632981</v>
      </c>
      <c r="BV53" s="5">
        <f t="shared" si="22"/>
        <v>-73372.602833960569</v>
      </c>
      <c r="BW53" s="5">
        <f t="shared" si="22"/>
        <v>-30922.715373207986</v>
      </c>
      <c r="BX53" s="5">
        <f t="shared" si="22"/>
        <v>-16120.772079986864</v>
      </c>
      <c r="BY53" s="5">
        <f t="shared" si="22"/>
        <v>102851.42075471717</v>
      </c>
      <c r="BZ53" s="5">
        <f t="shared" si="22"/>
        <v>-35433.262665144684</v>
      </c>
      <c r="CA53" s="5">
        <f t="shared" si="22"/>
        <v>-47120.816361158679</v>
      </c>
      <c r="CB53" s="5">
        <f t="shared" si="22"/>
        <v>-36985.421862261028</v>
      </c>
    </row>
    <row r="54" spans="1:82" x14ac:dyDescent="0.2"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2" s="32" customFormat="1" x14ac:dyDescent="0.2">
      <c r="B55" s="159" t="s">
        <v>213</v>
      </c>
      <c r="C55" s="160">
        <f>SUM(D55:CB55)</f>
        <v>25736900</v>
      </c>
      <c r="D55" s="160">
        <f>ROUND(IF((D51+D52+D53)&lt;0,0,(D51+D52+D53)),-2)</f>
        <v>17859400</v>
      </c>
      <c r="E55" s="160">
        <f t="shared" ref="E55:BP55" si="23">ROUND(IF((E51+E52+E53)&lt;0,0,(E51+E52+E53)),-2)</f>
        <v>303500</v>
      </c>
      <c r="F55" s="160">
        <f t="shared" si="23"/>
        <v>0</v>
      </c>
      <c r="G55" s="160">
        <f t="shared" si="23"/>
        <v>0</v>
      </c>
      <c r="H55" s="160">
        <f t="shared" si="23"/>
        <v>0</v>
      </c>
      <c r="I55" s="160">
        <f t="shared" si="23"/>
        <v>319300</v>
      </c>
      <c r="J55" s="160">
        <f t="shared" si="23"/>
        <v>0</v>
      </c>
      <c r="K55" s="160">
        <f t="shared" si="23"/>
        <v>0</v>
      </c>
      <c r="L55" s="160">
        <f t="shared" si="23"/>
        <v>0</v>
      </c>
      <c r="M55" s="160">
        <f t="shared" si="23"/>
        <v>0</v>
      </c>
      <c r="N55" s="160">
        <f t="shared" si="23"/>
        <v>0</v>
      </c>
      <c r="O55" s="160">
        <f t="shared" si="23"/>
        <v>0</v>
      </c>
      <c r="P55" s="160">
        <f t="shared" si="23"/>
        <v>1355400</v>
      </c>
      <c r="Q55" s="160">
        <f t="shared" si="23"/>
        <v>0</v>
      </c>
      <c r="R55" s="160">
        <f t="shared" si="23"/>
        <v>277200</v>
      </c>
      <c r="S55" s="160">
        <f t="shared" si="23"/>
        <v>113800</v>
      </c>
      <c r="T55" s="160">
        <f t="shared" si="23"/>
        <v>55800</v>
      </c>
      <c r="U55" s="160">
        <f t="shared" si="23"/>
        <v>18400</v>
      </c>
      <c r="V55" s="160">
        <f t="shared" si="23"/>
        <v>0</v>
      </c>
      <c r="W55" s="160">
        <f t="shared" si="23"/>
        <v>0</v>
      </c>
      <c r="X55" s="160">
        <f t="shared" si="23"/>
        <v>0</v>
      </c>
      <c r="Y55" s="160">
        <f t="shared" si="23"/>
        <v>99900</v>
      </c>
      <c r="Z55" s="160">
        <f t="shared" si="23"/>
        <v>0</v>
      </c>
      <c r="AA55" s="160">
        <f t="shared" si="23"/>
        <v>135900</v>
      </c>
      <c r="AB55" s="160">
        <f t="shared" si="23"/>
        <v>0</v>
      </c>
      <c r="AC55" s="160">
        <f t="shared" si="23"/>
        <v>0</v>
      </c>
      <c r="AD55" s="160">
        <f t="shared" si="23"/>
        <v>0</v>
      </c>
      <c r="AE55" s="160">
        <f t="shared" si="23"/>
        <v>0</v>
      </c>
      <c r="AF55" s="160">
        <f t="shared" si="23"/>
        <v>0</v>
      </c>
      <c r="AG55" s="160">
        <f t="shared" si="23"/>
        <v>0</v>
      </c>
      <c r="AH55" s="160">
        <f t="shared" si="23"/>
        <v>0</v>
      </c>
      <c r="AI55" s="160">
        <f t="shared" si="23"/>
        <v>0</v>
      </c>
      <c r="AJ55" s="160">
        <f t="shared" si="23"/>
        <v>0</v>
      </c>
      <c r="AK55" s="160">
        <f t="shared" si="23"/>
        <v>0</v>
      </c>
      <c r="AL55" s="160">
        <f t="shared" si="23"/>
        <v>0</v>
      </c>
      <c r="AM55" s="160">
        <f t="shared" si="23"/>
        <v>0</v>
      </c>
      <c r="AN55" s="160">
        <f t="shared" si="23"/>
        <v>24700</v>
      </c>
      <c r="AO55" s="160">
        <f t="shared" si="23"/>
        <v>17200</v>
      </c>
      <c r="AP55" s="160">
        <f t="shared" si="23"/>
        <v>0</v>
      </c>
      <c r="AQ55" s="160">
        <f t="shared" si="23"/>
        <v>0</v>
      </c>
      <c r="AR55" s="160">
        <f t="shared" si="23"/>
        <v>221300</v>
      </c>
      <c r="AS55" s="160">
        <f t="shared" si="23"/>
        <v>0</v>
      </c>
      <c r="AT55" s="160">
        <f t="shared" si="23"/>
        <v>0</v>
      </c>
      <c r="AU55" s="160">
        <f t="shared" si="23"/>
        <v>0</v>
      </c>
      <c r="AV55" s="160">
        <f t="shared" si="23"/>
        <v>0</v>
      </c>
      <c r="AW55" s="160">
        <f t="shared" si="23"/>
        <v>0</v>
      </c>
      <c r="AX55" s="160">
        <f t="shared" si="23"/>
        <v>0</v>
      </c>
      <c r="AY55" s="160">
        <f t="shared" si="23"/>
        <v>25300</v>
      </c>
      <c r="AZ55" s="160">
        <f t="shared" si="23"/>
        <v>0</v>
      </c>
      <c r="BA55" s="160">
        <f t="shared" si="23"/>
        <v>300200</v>
      </c>
      <c r="BB55" s="160">
        <f t="shared" si="23"/>
        <v>181100</v>
      </c>
      <c r="BC55" s="160">
        <f t="shared" si="23"/>
        <v>0</v>
      </c>
      <c r="BD55" s="160">
        <f t="shared" si="23"/>
        <v>0</v>
      </c>
      <c r="BE55" s="160">
        <f t="shared" si="23"/>
        <v>360000</v>
      </c>
      <c r="BF55" s="160">
        <f t="shared" si="23"/>
        <v>661700</v>
      </c>
      <c r="BG55" s="160">
        <f t="shared" si="23"/>
        <v>187600</v>
      </c>
      <c r="BH55" s="160">
        <f t="shared" si="23"/>
        <v>0</v>
      </c>
      <c r="BI55" s="160">
        <f t="shared" si="23"/>
        <v>322900</v>
      </c>
      <c r="BJ55" s="160">
        <f t="shared" si="23"/>
        <v>0</v>
      </c>
      <c r="BK55" s="160">
        <f t="shared" si="23"/>
        <v>0</v>
      </c>
      <c r="BL55" s="160">
        <f t="shared" si="23"/>
        <v>0</v>
      </c>
      <c r="BM55" s="160">
        <f t="shared" si="23"/>
        <v>8900</v>
      </c>
      <c r="BN55" s="160">
        <f t="shared" si="23"/>
        <v>88700</v>
      </c>
      <c r="BO55" s="160">
        <f t="shared" si="23"/>
        <v>0</v>
      </c>
      <c r="BP55" s="160">
        <f t="shared" si="23"/>
        <v>0</v>
      </c>
      <c r="BQ55" s="160">
        <f t="shared" ref="BQ55:CB55" si="24">ROUND(IF((BQ51+BQ52+BQ53)&lt;0,0,(BQ51+BQ52+BQ53)),-2)</f>
        <v>0</v>
      </c>
      <c r="BR55" s="160">
        <f t="shared" si="24"/>
        <v>254100</v>
      </c>
      <c r="BS55" s="160">
        <f t="shared" si="24"/>
        <v>46400</v>
      </c>
      <c r="BT55" s="160">
        <f t="shared" si="24"/>
        <v>2498200</v>
      </c>
      <c r="BU55" s="160">
        <f t="shared" si="24"/>
        <v>0</v>
      </c>
      <c r="BV55" s="160">
        <f t="shared" si="24"/>
        <v>0</v>
      </c>
      <c r="BW55" s="160">
        <f t="shared" si="24"/>
        <v>0</v>
      </c>
      <c r="BX55" s="160">
        <f t="shared" si="24"/>
        <v>0</v>
      </c>
      <c r="BY55" s="160">
        <f t="shared" si="24"/>
        <v>0</v>
      </c>
      <c r="BZ55" s="160">
        <f t="shared" si="24"/>
        <v>0</v>
      </c>
      <c r="CA55" s="160">
        <f t="shared" si="24"/>
        <v>0</v>
      </c>
      <c r="CB55" s="160">
        <f t="shared" si="24"/>
        <v>0</v>
      </c>
    </row>
    <row r="56" spans="1:82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2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2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</row>
    <row r="59" spans="1:82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</row>
    <row r="60" spans="1:82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1:82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</row>
    <row r="62" spans="1:82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2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</row>
    <row r="64" spans="1:82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3:80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3:80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3:80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3:80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3:80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3:80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3:80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3:80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3:80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3:80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3:80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3:80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3:80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3:80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3:80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3:80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3:80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3:80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3:80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7"/>
  <sheetViews>
    <sheetView zoomScale="90" zoomScaleNormal="90" workbookViewId="0">
      <pane xSplit="2" ySplit="9" topLeftCell="C10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" style="3" customWidth="1"/>
    <col min="2" max="2" width="54" style="3" bestFit="1" customWidth="1"/>
    <col min="3" max="3" width="21" style="3" customWidth="1"/>
    <col min="4" max="4" width="20.5703125" style="38" bestFit="1" customWidth="1"/>
    <col min="5" max="16384" width="11.42578125" style="38"/>
  </cols>
  <sheetData>
    <row r="1" spans="1:15" x14ac:dyDescent="0.2">
      <c r="A1" s="83" t="s">
        <v>217</v>
      </c>
      <c r="B1"/>
      <c r="C1"/>
    </row>
    <row r="2" spans="1:15" x14ac:dyDescent="0.2">
      <c r="A2" t="s">
        <v>218</v>
      </c>
      <c r="B2"/>
      <c r="C2"/>
    </row>
    <row r="3" spans="1:15" x14ac:dyDescent="0.2">
      <c r="A3"/>
      <c r="B3"/>
      <c r="C3"/>
    </row>
    <row r="4" spans="1:15" x14ac:dyDescent="0.2">
      <c r="A4"/>
      <c r="B4"/>
      <c r="C4"/>
    </row>
    <row r="5" spans="1:15" ht="26.25" x14ac:dyDescent="0.4">
      <c r="A5" s="18" t="s">
        <v>120</v>
      </c>
      <c r="E5" s="158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x14ac:dyDescent="0.2">
      <c r="C6" s="19"/>
    </row>
    <row r="7" spans="1:15" x14ac:dyDescent="0.2">
      <c r="B7" s="20" t="s">
        <v>113</v>
      </c>
      <c r="C7" s="19"/>
    </row>
    <row r="8" spans="1:15" s="32" customFormat="1" x14ac:dyDescent="0.2">
      <c r="A8" s="21"/>
      <c r="B8" s="21"/>
      <c r="C8" s="21" t="s">
        <v>5</v>
      </c>
    </row>
    <row r="10" spans="1:15" s="56" customFormat="1" ht="15.75" x14ac:dyDescent="0.25">
      <c r="A10" s="22" t="s">
        <v>102</v>
      </c>
      <c r="B10" s="23" t="s">
        <v>122</v>
      </c>
      <c r="C10" s="7"/>
    </row>
    <row r="11" spans="1:15" x14ac:dyDescent="0.2">
      <c r="B11" s="24"/>
    </row>
    <row r="12" spans="1:15" x14ac:dyDescent="0.2">
      <c r="B12" s="28" t="s">
        <v>123</v>
      </c>
      <c r="C12" s="5">
        <v>10000000</v>
      </c>
    </row>
    <row r="13" spans="1:15" s="32" customFormat="1" x14ac:dyDescent="0.2">
      <c r="A13" s="30"/>
      <c r="B13" s="30" t="s">
        <v>124</v>
      </c>
      <c r="C13" s="36">
        <v>6000000</v>
      </c>
    </row>
    <row r="14" spans="1:15" x14ac:dyDescent="0.2">
      <c r="C14" s="5"/>
    </row>
    <row r="15" spans="1:15" x14ac:dyDescent="0.2">
      <c r="B15" s="3" t="s">
        <v>127</v>
      </c>
      <c r="C15" s="5">
        <v>101.7</v>
      </c>
      <c r="D15" s="38" t="s">
        <v>126</v>
      </c>
    </row>
    <row r="16" spans="1:15" x14ac:dyDescent="0.2">
      <c r="B16" s="38" t="s">
        <v>125</v>
      </c>
      <c r="C16" s="12">
        <v>102.8</v>
      </c>
    </row>
    <row r="17" spans="1:3" x14ac:dyDescent="0.2">
      <c r="C17" s="5"/>
    </row>
    <row r="18" spans="1:3" x14ac:dyDescent="0.2">
      <c r="A18" s="38"/>
      <c r="B18" s="159" t="s">
        <v>214</v>
      </c>
      <c r="C18" s="160">
        <f>ROUND((C12+C13)/C15*C16,-2)</f>
        <v>16173100</v>
      </c>
    </row>
    <row r="19" spans="1:3" x14ac:dyDescent="0.2">
      <c r="C19" s="5"/>
    </row>
    <row r="20" spans="1:3" x14ac:dyDescent="0.2">
      <c r="C20" s="5"/>
    </row>
    <row r="21" spans="1:3" x14ac:dyDescent="0.2">
      <c r="C21" s="5"/>
    </row>
    <row r="22" spans="1:3" x14ac:dyDescent="0.2">
      <c r="C22" s="5"/>
    </row>
    <row r="23" spans="1:3" x14ac:dyDescent="0.2">
      <c r="C23" s="5"/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7" spans="1:3" x14ac:dyDescent="0.2">
      <c r="C27" s="5"/>
    </row>
    <row r="28" spans="1:3" x14ac:dyDescent="0.2">
      <c r="C28" s="5"/>
    </row>
    <row r="29" spans="1:3" x14ac:dyDescent="0.2">
      <c r="C29" s="5"/>
    </row>
    <row r="30" spans="1:3" x14ac:dyDescent="0.2">
      <c r="C30" s="5"/>
    </row>
    <row r="31" spans="1:3" x14ac:dyDescent="0.2">
      <c r="C31" s="5"/>
    </row>
    <row r="32" spans="1:3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DJ85"/>
  <sheetViews>
    <sheetView zoomScaleNormal="100" workbookViewId="0"/>
  </sheetViews>
  <sheetFormatPr baseColWidth="10" defaultRowHeight="12.75" x14ac:dyDescent="0.2"/>
  <cols>
    <col min="1" max="1" width="4" style="3" customWidth="1"/>
    <col min="2" max="2" width="20.5703125" style="3" bestFit="1" customWidth="1"/>
    <col min="3" max="8" width="17.140625" style="3" customWidth="1"/>
    <col min="9" max="9" width="21" style="3" customWidth="1"/>
    <col min="10" max="10" width="3.42578125" style="3" customWidth="1"/>
    <col min="11" max="11" width="21" style="3" customWidth="1"/>
    <col min="12" max="17" width="17.28515625" style="3" customWidth="1"/>
    <col min="18" max="18" width="21" style="3" customWidth="1"/>
    <col min="19" max="19" width="22.7109375" style="3" bestFit="1" customWidth="1"/>
    <col min="20" max="36" width="21" style="3" customWidth="1"/>
    <col min="37" max="444" width="11.42578125" style="38"/>
    <col min="445" max="16001" width="11.42578125" style="3"/>
    <col min="16002" max="16384" width="11.42578125" style="38"/>
  </cols>
  <sheetData>
    <row r="1" spans="1:780 1062:5519 16002:16338" x14ac:dyDescent="0.2">
      <c r="A1" s="83" t="s">
        <v>217</v>
      </c>
      <c r="B1"/>
      <c r="C1"/>
      <c r="D1"/>
      <c r="E1"/>
      <c r="F1"/>
      <c r="G1"/>
    </row>
    <row r="2" spans="1:780 1062:5519 16002:16338" x14ac:dyDescent="0.2">
      <c r="A2" t="s">
        <v>218</v>
      </c>
      <c r="B2"/>
      <c r="C2"/>
      <c r="D2"/>
      <c r="E2"/>
      <c r="F2"/>
      <c r="G2"/>
    </row>
    <row r="3" spans="1:780 1062:5519 16002:16338" x14ac:dyDescent="0.2">
      <c r="A3"/>
      <c r="B3"/>
      <c r="C3"/>
      <c r="D3"/>
      <c r="E3"/>
      <c r="F3"/>
      <c r="G3"/>
    </row>
    <row r="4" spans="1:780 1062:5519 16002:16338" x14ac:dyDescent="0.2">
      <c r="A4"/>
      <c r="B4"/>
      <c r="C4"/>
      <c r="D4"/>
      <c r="E4"/>
      <c r="F4"/>
      <c r="G4"/>
    </row>
    <row r="5" spans="1:780 1062:5519 16002:16338" ht="26.25" x14ac:dyDescent="0.4">
      <c r="A5" s="18" t="s">
        <v>309</v>
      </c>
      <c r="J5" s="200" t="s">
        <v>236</v>
      </c>
      <c r="K5" s="201"/>
      <c r="L5" s="201"/>
      <c r="M5" s="201"/>
      <c r="N5" s="201"/>
      <c r="O5" s="201"/>
      <c r="P5" s="201"/>
      <c r="Q5" s="201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</row>
    <row r="6" spans="1:780 1062:5519 16002:16338" s="3" customFormat="1" x14ac:dyDescent="0.2">
      <c r="C6" s="5"/>
      <c r="D6" s="5"/>
      <c r="E6" s="5"/>
      <c r="F6" s="5"/>
      <c r="G6" s="5"/>
      <c r="H6" s="5"/>
      <c r="I6" s="5"/>
      <c r="J6" s="202"/>
      <c r="K6" s="202"/>
      <c r="L6" s="202"/>
      <c r="M6" s="202"/>
      <c r="N6" s="202"/>
      <c r="O6" s="202"/>
      <c r="P6" s="202"/>
      <c r="Q6" s="20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WQL6" s="38"/>
      <c r="WQM6" s="38"/>
      <c r="WQN6" s="38"/>
      <c r="WQO6" s="38"/>
      <c r="WQP6" s="38"/>
      <c r="WQQ6" s="38"/>
      <c r="WQR6" s="38"/>
      <c r="WQS6" s="38"/>
      <c r="WQT6" s="38"/>
      <c r="WQU6" s="38"/>
      <c r="WQV6" s="38"/>
      <c r="WQW6" s="38"/>
      <c r="WQX6" s="38"/>
      <c r="WQY6" s="38"/>
      <c r="WQZ6" s="38"/>
      <c r="WRA6" s="38"/>
      <c r="WRB6" s="38"/>
      <c r="WRC6" s="38"/>
      <c r="WRD6" s="38"/>
      <c r="WRE6" s="38"/>
      <c r="WRF6" s="38"/>
      <c r="WRG6" s="38"/>
      <c r="WRH6" s="38"/>
      <c r="WRI6" s="38"/>
      <c r="WRJ6" s="38"/>
      <c r="WRK6" s="38"/>
      <c r="WRL6" s="38"/>
      <c r="WRM6" s="38"/>
      <c r="WRN6" s="38"/>
      <c r="WRO6" s="38"/>
      <c r="WRP6" s="38"/>
      <c r="WRQ6" s="38"/>
      <c r="WRR6" s="38"/>
      <c r="WRS6" s="38"/>
      <c r="WRT6" s="38"/>
      <c r="WRU6" s="38"/>
      <c r="WRV6" s="38"/>
      <c r="WRW6" s="38"/>
      <c r="WRX6" s="38"/>
      <c r="WRY6" s="38"/>
      <c r="WRZ6" s="38"/>
      <c r="WSA6" s="38"/>
      <c r="WSB6" s="38"/>
      <c r="WSC6" s="38"/>
      <c r="WSD6" s="38"/>
      <c r="WSE6" s="38"/>
      <c r="WSF6" s="38"/>
      <c r="WSG6" s="38"/>
      <c r="WSH6" s="38"/>
      <c r="WSI6" s="38"/>
      <c r="WSJ6" s="38"/>
      <c r="WSK6" s="38"/>
      <c r="WSL6" s="38"/>
      <c r="WSM6" s="38"/>
      <c r="WSN6" s="38"/>
      <c r="WSO6" s="38"/>
      <c r="WSP6" s="38"/>
      <c r="WSQ6" s="38"/>
      <c r="WSR6" s="38"/>
      <c r="WSS6" s="38"/>
      <c r="WST6" s="38"/>
      <c r="WSU6" s="38"/>
      <c r="WSV6" s="38"/>
      <c r="WSW6" s="38"/>
      <c r="WSX6" s="38"/>
      <c r="WSY6" s="38"/>
      <c r="WSZ6" s="38"/>
      <c r="WTA6" s="38"/>
      <c r="WTB6" s="38"/>
      <c r="WTC6" s="38"/>
      <c r="WTD6" s="38"/>
      <c r="WTE6" s="38"/>
      <c r="WTF6" s="38"/>
      <c r="WTG6" s="38"/>
      <c r="WTH6" s="38"/>
      <c r="WTI6" s="38"/>
      <c r="WTJ6" s="38"/>
      <c r="WTK6" s="38"/>
      <c r="WTL6" s="38"/>
      <c r="WTM6" s="38"/>
      <c r="WTN6" s="38"/>
      <c r="WTO6" s="38"/>
      <c r="WTP6" s="38"/>
      <c r="WTQ6" s="38"/>
      <c r="WTR6" s="38"/>
      <c r="WTS6" s="38"/>
      <c r="WTT6" s="38"/>
      <c r="WTU6" s="38"/>
      <c r="WTV6" s="38"/>
      <c r="WTW6" s="38"/>
      <c r="WTX6" s="38"/>
      <c r="WTY6" s="38"/>
      <c r="WTZ6" s="38"/>
      <c r="WUA6" s="38"/>
      <c r="WUB6" s="38"/>
      <c r="WUC6" s="38"/>
      <c r="WUD6" s="38"/>
      <c r="WUE6" s="38"/>
      <c r="WUF6" s="38"/>
      <c r="WUG6" s="38"/>
      <c r="WUH6" s="38"/>
      <c r="WUI6" s="38"/>
      <c r="WUJ6" s="38"/>
      <c r="WUK6" s="38"/>
      <c r="WUL6" s="38"/>
      <c r="WUM6" s="38"/>
      <c r="WUN6" s="38"/>
      <c r="WUO6" s="38"/>
      <c r="WUP6" s="38"/>
      <c r="WUQ6" s="38"/>
      <c r="WUR6" s="38"/>
      <c r="WUS6" s="38"/>
      <c r="WUT6" s="38"/>
      <c r="WUU6" s="38"/>
      <c r="WUV6" s="38"/>
      <c r="WUW6" s="38"/>
      <c r="WUX6" s="38"/>
      <c r="WUY6" s="38"/>
      <c r="WUZ6" s="38"/>
      <c r="WVA6" s="38"/>
      <c r="WVB6" s="38"/>
      <c r="WVC6" s="38"/>
      <c r="WVD6" s="38"/>
      <c r="WVE6" s="38"/>
      <c r="WVF6" s="38"/>
      <c r="WVG6" s="38"/>
      <c r="WVH6" s="38"/>
      <c r="WVI6" s="38"/>
      <c r="WVJ6" s="38"/>
      <c r="WVK6" s="38"/>
      <c r="WVL6" s="38"/>
      <c r="WVM6" s="38"/>
      <c r="WVN6" s="38"/>
      <c r="WVO6" s="38"/>
      <c r="WVP6" s="38"/>
      <c r="WVQ6" s="38"/>
      <c r="WVR6" s="38"/>
      <c r="WVS6" s="38"/>
      <c r="WVT6" s="38"/>
      <c r="WVU6" s="38"/>
      <c r="WVV6" s="38"/>
      <c r="WVW6" s="38"/>
      <c r="WVX6" s="38"/>
      <c r="WVY6" s="38"/>
      <c r="WVZ6" s="38"/>
      <c r="WWA6" s="38"/>
      <c r="WWB6" s="38"/>
      <c r="WWC6" s="38"/>
      <c r="WWD6" s="38"/>
      <c r="WWE6" s="38"/>
      <c r="WWF6" s="38"/>
      <c r="WWG6" s="38"/>
      <c r="WWH6" s="38"/>
      <c r="WWI6" s="38"/>
      <c r="WWJ6" s="38"/>
      <c r="WWK6" s="38"/>
      <c r="WWL6" s="38"/>
      <c r="WWM6" s="38"/>
      <c r="WWN6" s="38"/>
      <c r="WWO6" s="38"/>
      <c r="WWP6" s="38"/>
      <c r="WWQ6" s="38"/>
      <c r="WWR6" s="38"/>
      <c r="WWS6" s="38"/>
      <c r="WWT6" s="38"/>
      <c r="WWU6" s="38"/>
      <c r="WWV6" s="38"/>
      <c r="WWW6" s="38"/>
      <c r="WWX6" s="38"/>
      <c r="WWY6" s="38"/>
      <c r="WWZ6" s="38"/>
      <c r="WXA6" s="38"/>
      <c r="WXB6" s="38"/>
      <c r="WXC6" s="38"/>
      <c r="WXD6" s="38"/>
      <c r="WXE6" s="38"/>
      <c r="WXF6" s="38"/>
      <c r="WXG6" s="38"/>
      <c r="WXH6" s="38"/>
      <c r="WXI6" s="38"/>
      <c r="WXJ6" s="38"/>
      <c r="WXK6" s="38"/>
      <c r="WXL6" s="38"/>
      <c r="WXM6" s="38"/>
      <c r="WXN6" s="38"/>
      <c r="WXO6" s="38"/>
      <c r="WXP6" s="38"/>
      <c r="WXQ6" s="38"/>
      <c r="WXR6" s="38"/>
      <c r="WXS6" s="38"/>
      <c r="WXT6" s="38"/>
      <c r="WXU6" s="38"/>
      <c r="WXV6" s="38"/>
      <c r="WXW6" s="38"/>
      <c r="WXX6" s="38"/>
      <c r="WXY6" s="38"/>
      <c r="WXZ6" s="38"/>
      <c r="WYA6" s="38"/>
      <c r="WYB6" s="38"/>
      <c r="WYC6" s="38"/>
      <c r="WYD6" s="38"/>
      <c r="WYE6" s="38"/>
      <c r="WYF6" s="38"/>
      <c r="WYG6" s="38"/>
      <c r="WYH6" s="38"/>
      <c r="WYI6" s="38"/>
      <c r="WYJ6" s="38"/>
      <c r="WYK6" s="38"/>
      <c r="WYL6" s="38"/>
      <c r="WYM6" s="38"/>
      <c r="WYN6" s="38"/>
      <c r="WYO6" s="38"/>
      <c r="WYP6" s="38"/>
      <c r="WYQ6" s="38"/>
      <c r="WYR6" s="38"/>
      <c r="WYS6" s="38"/>
      <c r="WYT6" s="38"/>
      <c r="WYU6" s="38"/>
      <c r="WYV6" s="38"/>
      <c r="WYW6" s="38"/>
      <c r="WYX6" s="38"/>
      <c r="WYY6" s="38"/>
      <c r="WYZ6" s="38"/>
      <c r="WZA6" s="38"/>
      <c r="WZB6" s="38"/>
      <c r="WZC6" s="38"/>
      <c r="WZD6" s="38"/>
      <c r="WZE6" s="38"/>
      <c r="WZF6" s="38"/>
      <c r="WZG6" s="38"/>
      <c r="WZH6" s="38"/>
      <c r="WZI6" s="38"/>
      <c r="WZJ6" s="38"/>
      <c r="WZK6" s="38"/>
      <c r="WZL6" s="38"/>
      <c r="WZM6" s="38"/>
      <c r="WZN6" s="38"/>
      <c r="WZO6" s="38"/>
      <c r="WZP6" s="38"/>
      <c r="WZQ6" s="38"/>
      <c r="WZR6" s="38"/>
      <c r="WZS6" s="38"/>
      <c r="WZT6" s="38"/>
      <c r="WZU6" s="38"/>
      <c r="WZV6" s="38"/>
      <c r="WZW6" s="38"/>
      <c r="WZX6" s="38"/>
      <c r="WZY6" s="38"/>
      <c r="WZZ6" s="38"/>
      <c r="XAA6" s="38"/>
      <c r="XAB6" s="38"/>
      <c r="XAC6" s="38"/>
      <c r="XAD6" s="38"/>
      <c r="XAE6" s="38"/>
      <c r="XAF6" s="38"/>
      <c r="XAG6" s="38"/>
      <c r="XAH6" s="38"/>
      <c r="XAI6" s="38"/>
      <c r="XAJ6" s="38"/>
      <c r="XAK6" s="38"/>
      <c r="XAL6" s="38"/>
      <c r="XAM6" s="38"/>
      <c r="XAN6" s="38"/>
      <c r="XAO6" s="38"/>
      <c r="XAP6" s="38"/>
      <c r="XAQ6" s="38"/>
      <c r="XAR6" s="38"/>
      <c r="XAS6" s="38"/>
      <c r="XAT6" s="38"/>
      <c r="XAU6" s="38"/>
      <c r="XAV6" s="38"/>
      <c r="XAW6" s="38"/>
      <c r="XAX6" s="38"/>
      <c r="XAY6" s="38"/>
      <c r="XAZ6" s="38"/>
      <c r="XBA6" s="38"/>
      <c r="XBB6" s="38"/>
      <c r="XBC6" s="38"/>
      <c r="XBD6" s="38"/>
      <c r="XBE6" s="38"/>
      <c r="XBF6" s="38"/>
      <c r="XBG6" s="38"/>
      <c r="XBH6" s="38"/>
      <c r="XBI6" s="38"/>
      <c r="XBJ6" s="38"/>
      <c r="XBK6" s="38"/>
      <c r="XBL6" s="38"/>
      <c r="XBM6" s="38"/>
      <c r="XBN6" s="38"/>
      <c r="XBO6" s="38"/>
      <c r="XBP6" s="38"/>
      <c r="XBQ6" s="38"/>
      <c r="XBR6" s="38"/>
      <c r="XBS6" s="38"/>
      <c r="XBT6" s="38"/>
      <c r="XBU6" s="38"/>
      <c r="XBV6" s="38"/>
      <c r="XBW6" s="38"/>
      <c r="XBX6" s="38"/>
      <c r="XBY6" s="38"/>
      <c r="XBZ6" s="38"/>
      <c r="XCA6" s="38"/>
      <c r="XCB6" s="38"/>
      <c r="XCC6" s="38"/>
      <c r="XCD6" s="38"/>
      <c r="XCE6" s="38"/>
      <c r="XCF6" s="38"/>
      <c r="XCG6" s="38"/>
      <c r="XCH6" s="38"/>
      <c r="XCI6" s="38"/>
      <c r="XCJ6" s="38"/>
      <c r="XCK6" s="38"/>
      <c r="XCL6" s="38"/>
      <c r="XCM6" s="38"/>
      <c r="XCN6" s="38"/>
      <c r="XCO6" s="38"/>
      <c r="XCP6" s="38"/>
      <c r="XCQ6" s="38"/>
      <c r="XCR6" s="38"/>
      <c r="XCS6" s="38"/>
      <c r="XCT6" s="38"/>
      <c r="XCU6" s="38"/>
      <c r="XCV6" s="38"/>
      <c r="XCW6" s="38"/>
      <c r="XCX6" s="38"/>
      <c r="XCY6" s="38"/>
      <c r="XCZ6" s="38"/>
      <c r="XDA6" s="38"/>
      <c r="XDB6" s="38"/>
      <c r="XDC6" s="38"/>
      <c r="XDD6" s="38"/>
      <c r="XDE6" s="38"/>
      <c r="XDF6" s="38"/>
      <c r="XDG6" s="38"/>
      <c r="XDH6" s="38"/>
      <c r="XDI6" s="38"/>
      <c r="XDJ6" s="38"/>
    </row>
    <row r="7" spans="1:780 1062:5519 16002:16338" s="3" customFormat="1" ht="38.25" customHeight="1" x14ac:dyDescent="0.2">
      <c r="A7" s="111" t="s">
        <v>234</v>
      </c>
      <c r="B7" s="119" t="s">
        <v>235</v>
      </c>
      <c r="C7" s="113" t="s">
        <v>229</v>
      </c>
      <c r="D7" s="114" t="s">
        <v>230</v>
      </c>
      <c r="E7" s="114" t="s">
        <v>232</v>
      </c>
      <c r="F7" s="113" t="s">
        <v>231</v>
      </c>
      <c r="G7" s="114" t="s">
        <v>233</v>
      </c>
      <c r="H7" s="114" t="s">
        <v>82</v>
      </c>
      <c r="I7" s="5"/>
      <c r="J7" s="203" t="s">
        <v>234</v>
      </c>
      <c r="K7" s="204" t="s">
        <v>235</v>
      </c>
      <c r="L7" s="205" t="s">
        <v>229</v>
      </c>
      <c r="M7" s="206" t="s">
        <v>230</v>
      </c>
      <c r="N7" s="206" t="s">
        <v>232</v>
      </c>
      <c r="O7" s="205" t="s">
        <v>231</v>
      </c>
      <c r="P7" s="206" t="s">
        <v>233</v>
      </c>
      <c r="Q7" s="206" t="s">
        <v>82</v>
      </c>
      <c r="R7" s="5"/>
      <c r="S7" s="5"/>
      <c r="T7" s="5"/>
      <c r="U7" s="5"/>
      <c r="V7" s="5"/>
      <c r="W7" s="5"/>
      <c r="X7" s="5"/>
      <c r="Y7" s="5"/>
      <c r="Z7" s="5"/>
      <c r="AA7" s="5"/>
      <c r="AH7" s="5"/>
      <c r="AI7" s="5"/>
      <c r="AJ7" s="5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WQL7" s="38"/>
      <c r="WQM7" s="38"/>
      <c r="WQN7" s="38"/>
      <c r="WQO7" s="38"/>
      <c r="WQP7" s="38"/>
      <c r="WQQ7" s="38"/>
      <c r="WQR7" s="38"/>
      <c r="WQS7" s="38"/>
      <c r="WQT7" s="38"/>
      <c r="WQU7" s="38"/>
      <c r="WQV7" s="38"/>
      <c r="WQW7" s="38"/>
      <c r="WQX7" s="38"/>
      <c r="WQY7" s="38"/>
      <c r="WQZ7" s="38"/>
      <c r="WRA7" s="38"/>
      <c r="WRB7" s="38"/>
      <c r="WRC7" s="38"/>
      <c r="WRD7" s="38"/>
      <c r="WRE7" s="38"/>
      <c r="WRF7" s="38"/>
      <c r="WRG7" s="38"/>
      <c r="WRH7" s="38"/>
      <c r="WRI7" s="38"/>
      <c r="WRJ7" s="38"/>
      <c r="WRK7" s="38"/>
      <c r="WRL7" s="38"/>
      <c r="WRM7" s="38"/>
      <c r="WRN7" s="38"/>
      <c r="WRO7" s="38"/>
      <c r="WRP7" s="38"/>
      <c r="WRQ7" s="38"/>
      <c r="WRR7" s="38"/>
      <c r="WRS7" s="38"/>
      <c r="WRT7" s="38"/>
      <c r="WRU7" s="38"/>
      <c r="WRV7" s="38"/>
      <c r="WRW7" s="38"/>
      <c r="WRX7" s="38"/>
      <c r="WRY7" s="38"/>
      <c r="WRZ7" s="38"/>
      <c r="WSA7" s="38"/>
      <c r="WSB7" s="38"/>
      <c r="WSC7" s="38"/>
      <c r="WSD7" s="38"/>
      <c r="WSE7" s="38"/>
      <c r="WSF7" s="38"/>
      <c r="WSG7" s="38"/>
      <c r="WSH7" s="38"/>
      <c r="WSI7" s="38"/>
      <c r="WSJ7" s="38"/>
      <c r="WSK7" s="38"/>
      <c r="WSL7" s="38"/>
      <c r="WSM7" s="38"/>
      <c r="WSN7" s="38"/>
      <c r="WSO7" s="38"/>
      <c r="WSP7" s="38"/>
      <c r="WSQ7" s="38"/>
      <c r="WSR7" s="38"/>
      <c r="WSS7" s="38"/>
      <c r="WST7" s="38"/>
      <c r="WSU7" s="38"/>
      <c r="WSV7" s="38"/>
      <c r="WSW7" s="38"/>
      <c r="WSX7" s="38"/>
      <c r="WSY7" s="38"/>
      <c r="WSZ7" s="38"/>
      <c r="WTA7" s="38"/>
      <c r="WTB7" s="38"/>
      <c r="WTC7" s="38"/>
      <c r="WTD7" s="38"/>
      <c r="WTE7" s="38"/>
      <c r="WTF7" s="38"/>
      <c r="WTG7" s="38"/>
      <c r="WTH7" s="38"/>
      <c r="WTI7" s="38"/>
      <c r="WTJ7" s="38"/>
      <c r="WTK7" s="38"/>
      <c r="WTL7" s="38"/>
      <c r="WTM7" s="38"/>
      <c r="WTN7" s="38"/>
      <c r="WTO7" s="38"/>
      <c r="WTP7" s="38"/>
      <c r="WTQ7" s="38"/>
      <c r="WTR7" s="38"/>
      <c r="WTS7" s="38"/>
      <c r="WTT7" s="38"/>
      <c r="WTU7" s="38"/>
      <c r="WTV7" s="38"/>
      <c r="WTW7" s="38"/>
      <c r="WTX7" s="38"/>
      <c r="WTY7" s="38"/>
      <c r="WTZ7" s="38"/>
      <c r="WUA7" s="38"/>
      <c r="WUB7" s="38"/>
      <c r="WUC7" s="38"/>
      <c r="WUD7" s="38"/>
      <c r="WUE7" s="38"/>
      <c r="WUF7" s="38"/>
      <c r="WUG7" s="38"/>
      <c r="WUH7" s="38"/>
      <c r="WUI7" s="38"/>
      <c r="WUJ7" s="38"/>
      <c r="WUK7" s="38"/>
      <c r="WUL7" s="38"/>
      <c r="WUM7" s="38"/>
      <c r="WUN7" s="38"/>
      <c r="WUO7" s="38"/>
      <c r="WUP7" s="38"/>
      <c r="WUQ7" s="38"/>
      <c r="WUR7" s="38"/>
      <c r="WUS7" s="38"/>
      <c r="WUT7" s="38"/>
      <c r="WUU7" s="38"/>
      <c r="WUV7" s="38"/>
      <c r="WUW7" s="38"/>
      <c r="WUX7" s="38"/>
      <c r="WUY7" s="38"/>
      <c r="WUZ7" s="38"/>
      <c r="WVA7" s="38"/>
      <c r="WVB7" s="38"/>
      <c r="WVC7" s="38"/>
      <c r="WVD7" s="38"/>
      <c r="WVE7" s="38"/>
      <c r="WVF7" s="38"/>
      <c r="WVG7" s="38"/>
      <c r="WVH7" s="38"/>
      <c r="WVI7" s="38"/>
      <c r="WVJ7" s="38"/>
      <c r="WVK7" s="38"/>
      <c r="WVL7" s="38"/>
      <c r="WVM7" s="38"/>
      <c r="WVN7" s="38"/>
      <c r="WVO7" s="38"/>
      <c r="WVP7" s="38"/>
      <c r="WVQ7" s="38"/>
      <c r="WVR7" s="38"/>
      <c r="WVS7" s="38"/>
      <c r="WVT7" s="38"/>
      <c r="WVU7" s="38"/>
      <c r="WVV7" s="38"/>
      <c r="WVW7" s="38"/>
      <c r="WVX7" s="38"/>
      <c r="WVY7" s="38"/>
      <c r="WVZ7" s="38"/>
      <c r="WWA7" s="38"/>
      <c r="WWB7" s="38"/>
      <c r="WWC7" s="38"/>
      <c r="WWD7" s="38"/>
      <c r="WWE7" s="38"/>
      <c r="WWF7" s="38"/>
      <c r="WWG7" s="38"/>
      <c r="WWH7" s="38"/>
      <c r="WWI7" s="38"/>
      <c r="WWJ7" s="38"/>
      <c r="WWK7" s="38"/>
      <c r="WWL7" s="38"/>
      <c r="WWM7" s="38"/>
      <c r="WWN7" s="38"/>
      <c r="WWO7" s="38"/>
      <c r="WWP7" s="38"/>
      <c r="WWQ7" s="38"/>
      <c r="WWR7" s="38"/>
      <c r="WWS7" s="38"/>
      <c r="WWT7" s="38"/>
      <c r="WWU7" s="38"/>
      <c r="WWV7" s="38"/>
      <c r="WWW7" s="38"/>
      <c r="WWX7" s="38"/>
      <c r="WWY7" s="38"/>
      <c r="WWZ7" s="38"/>
      <c r="WXA7" s="38"/>
      <c r="WXB7" s="38"/>
      <c r="WXC7" s="38"/>
      <c r="WXD7" s="38"/>
      <c r="WXE7" s="38"/>
      <c r="WXF7" s="38"/>
      <c r="WXG7" s="38"/>
      <c r="WXH7" s="38"/>
      <c r="WXI7" s="38"/>
      <c r="WXJ7" s="38"/>
      <c r="WXK7" s="38"/>
      <c r="WXL7" s="38"/>
      <c r="WXM7" s="38"/>
      <c r="WXN7" s="38"/>
      <c r="WXO7" s="38"/>
      <c r="WXP7" s="38"/>
      <c r="WXQ7" s="38"/>
      <c r="WXR7" s="38"/>
      <c r="WXS7" s="38"/>
      <c r="WXT7" s="38"/>
      <c r="WXU7" s="38"/>
      <c r="WXV7" s="38"/>
      <c r="WXW7" s="38"/>
      <c r="WXX7" s="38"/>
      <c r="WXY7" s="38"/>
      <c r="WXZ7" s="38"/>
      <c r="WYA7" s="38"/>
      <c r="WYB7" s="38"/>
      <c r="WYC7" s="38"/>
      <c r="WYD7" s="38"/>
      <c r="WYE7" s="38"/>
      <c r="WYF7" s="38"/>
      <c r="WYG7" s="38"/>
      <c r="WYH7" s="38"/>
      <c r="WYI7" s="38"/>
      <c r="WYJ7" s="38"/>
      <c r="WYK7" s="38"/>
      <c r="WYL7" s="38"/>
      <c r="WYM7" s="38"/>
      <c r="WYN7" s="38"/>
      <c r="WYO7" s="38"/>
      <c r="WYP7" s="38"/>
      <c r="WYQ7" s="38"/>
      <c r="WYR7" s="38"/>
      <c r="WYS7" s="38"/>
      <c r="WYT7" s="38"/>
      <c r="WYU7" s="38"/>
      <c r="WYV7" s="38"/>
      <c r="WYW7" s="38"/>
      <c r="WYX7" s="38"/>
      <c r="WYY7" s="38"/>
      <c r="WYZ7" s="38"/>
      <c r="WZA7" s="38"/>
      <c r="WZB7" s="38"/>
      <c r="WZC7" s="38"/>
      <c r="WZD7" s="38"/>
      <c r="WZE7" s="38"/>
      <c r="WZF7" s="38"/>
      <c r="WZG7" s="38"/>
      <c r="WZH7" s="38"/>
      <c r="WZI7" s="38"/>
      <c r="WZJ7" s="38"/>
      <c r="WZK7" s="38"/>
      <c r="WZL7" s="38"/>
      <c r="WZM7" s="38"/>
      <c r="WZN7" s="38"/>
      <c r="WZO7" s="38"/>
      <c r="WZP7" s="38"/>
      <c r="WZQ7" s="38"/>
      <c r="WZR7" s="38"/>
      <c r="WZS7" s="38"/>
      <c r="WZT7" s="38"/>
      <c r="WZU7" s="38"/>
      <c r="WZV7" s="38"/>
      <c r="WZW7" s="38"/>
      <c r="WZX7" s="38"/>
      <c r="WZY7" s="38"/>
      <c r="WZZ7" s="38"/>
      <c r="XAA7" s="38"/>
      <c r="XAB7" s="38"/>
      <c r="XAC7" s="38"/>
      <c r="XAD7" s="38"/>
      <c r="XAE7" s="38"/>
      <c r="XAF7" s="38"/>
      <c r="XAG7" s="38"/>
      <c r="XAH7" s="38"/>
      <c r="XAI7" s="38"/>
      <c r="XAJ7" s="38"/>
      <c r="XAK7" s="38"/>
      <c r="XAL7" s="38"/>
      <c r="XAM7" s="38"/>
      <c r="XAN7" s="38"/>
      <c r="XAO7" s="38"/>
      <c r="XAP7" s="38"/>
      <c r="XAQ7" s="38"/>
      <c r="XAR7" s="38"/>
      <c r="XAS7" s="38"/>
      <c r="XAT7" s="38"/>
      <c r="XAU7" s="38"/>
      <c r="XAV7" s="38"/>
      <c r="XAW7" s="38"/>
      <c r="XAX7" s="38"/>
      <c r="XAY7" s="38"/>
      <c r="XAZ7" s="38"/>
      <c r="XBA7" s="38"/>
      <c r="XBB7" s="38"/>
      <c r="XBC7" s="38"/>
      <c r="XBD7" s="38"/>
      <c r="XBE7" s="38"/>
      <c r="XBF7" s="38"/>
      <c r="XBG7" s="38"/>
      <c r="XBH7" s="38"/>
      <c r="XBI7" s="38"/>
      <c r="XBJ7" s="38"/>
      <c r="XBK7" s="38"/>
      <c r="XBL7" s="38"/>
      <c r="XBM7" s="38"/>
      <c r="XBN7" s="38"/>
      <c r="XBO7" s="38"/>
      <c r="XBP7" s="38"/>
      <c r="XBQ7" s="38"/>
      <c r="XBR7" s="38"/>
      <c r="XBS7" s="38"/>
      <c r="XBT7" s="38"/>
      <c r="XBU7" s="38"/>
      <c r="XBV7" s="38"/>
      <c r="XBW7" s="38"/>
      <c r="XBX7" s="38"/>
      <c r="XBY7" s="38"/>
      <c r="XBZ7" s="38"/>
      <c r="XCA7" s="38"/>
      <c r="XCB7" s="38"/>
      <c r="XCC7" s="38"/>
      <c r="XCD7" s="38"/>
      <c r="XCE7" s="38"/>
      <c r="XCF7" s="38"/>
      <c r="XCG7" s="38"/>
      <c r="XCH7" s="38"/>
      <c r="XCI7" s="38"/>
      <c r="XCJ7" s="38"/>
      <c r="XCK7" s="38"/>
      <c r="XCL7" s="38"/>
      <c r="XCM7" s="38"/>
      <c r="XCN7" s="38"/>
      <c r="XCO7" s="38"/>
      <c r="XCP7" s="38"/>
      <c r="XCQ7" s="38"/>
      <c r="XCR7" s="38"/>
      <c r="XCS7" s="38"/>
      <c r="XCT7" s="38"/>
      <c r="XCU7" s="38"/>
      <c r="XCV7" s="38"/>
      <c r="XCW7" s="38"/>
      <c r="XCX7" s="38"/>
      <c r="XCY7" s="38"/>
      <c r="XCZ7" s="38"/>
      <c r="XDA7" s="38"/>
      <c r="XDB7" s="38"/>
      <c r="XDC7" s="38"/>
      <c r="XDD7" s="38"/>
      <c r="XDE7" s="38"/>
      <c r="XDF7" s="38"/>
      <c r="XDG7" s="38"/>
      <c r="XDH7" s="38"/>
      <c r="XDI7" s="38"/>
      <c r="XDJ7" s="38"/>
    </row>
    <row r="8" spans="1:780 1062:5519 16002:16338" s="3" customFormat="1" x14ac:dyDescent="0.2">
      <c r="A8" s="100">
        <v>1</v>
      </c>
      <c r="B8" s="132" t="s">
        <v>5</v>
      </c>
      <c r="C8" s="131">
        <f>HLOOKUP(B8,'Ressourcenausgleich Basis'!$C$8:$CB$151,144,FALSE)</f>
        <v>0</v>
      </c>
      <c r="D8" s="136">
        <f>HLOOKUP(B8,'SL Weite Basis'!$C$8:$CB$74,67,FALSE)</f>
        <v>0</v>
      </c>
      <c r="E8" s="136">
        <f>HLOOKUP(B8,'SL Schule Basis'!$C$8:$CB$65,58,FALSE)</f>
        <v>0</v>
      </c>
      <c r="F8" s="131">
        <f>HLOOKUP(B8,'SL Sozio Basis'!$C$8:$CB$55,48,FALSE)</f>
        <v>17859400</v>
      </c>
      <c r="G8" s="136">
        <f>'SL Stadt SG Basis'!C18</f>
        <v>16173100</v>
      </c>
      <c r="H8" s="137">
        <f t="shared" ref="H8:H39" si="0">SUM(C8:G8)</f>
        <v>34032500</v>
      </c>
      <c r="I8" s="5"/>
      <c r="J8" s="207">
        <v>1</v>
      </c>
      <c r="K8" s="208" t="s">
        <v>5</v>
      </c>
      <c r="L8" s="187">
        <v>0</v>
      </c>
      <c r="M8" s="188">
        <v>0</v>
      </c>
      <c r="N8" s="187">
        <v>0</v>
      </c>
      <c r="O8" s="188">
        <v>17850300</v>
      </c>
      <c r="P8" s="187">
        <v>16173100</v>
      </c>
      <c r="Q8" s="209">
        <v>34023400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WQL8" s="38"/>
      <c r="WQM8" s="38"/>
      <c r="WQN8" s="38"/>
      <c r="WQO8" s="38"/>
      <c r="WQP8" s="38"/>
      <c r="WQQ8" s="38"/>
      <c r="WQR8" s="38"/>
      <c r="WQS8" s="38"/>
      <c r="WQT8" s="38"/>
      <c r="WQU8" s="38"/>
      <c r="WQV8" s="38"/>
      <c r="WQW8" s="38"/>
      <c r="WQX8" s="38"/>
      <c r="WQY8" s="38"/>
      <c r="WQZ8" s="38"/>
      <c r="WRA8" s="38"/>
      <c r="WRB8" s="38"/>
      <c r="WRC8" s="38"/>
      <c r="WRD8" s="38"/>
      <c r="WRE8" s="38"/>
      <c r="WRF8" s="38"/>
      <c r="WRG8" s="38"/>
      <c r="WRH8" s="38"/>
      <c r="WRI8" s="38"/>
      <c r="WRJ8" s="38"/>
      <c r="WRK8" s="38"/>
      <c r="WRL8" s="38"/>
      <c r="WRM8" s="38"/>
      <c r="WRN8" s="38"/>
      <c r="WRO8" s="38"/>
      <c r="WRP8" s="38"/>
      <c r="WRQ8" s="38"/>
      <c r="WRR8" s="38"/>
      <c r="WRS8" s="38"/>
      <c r="WRT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</row>
    <row r="9" spans="1:780 1062:5519 16002:16338" s="3" customFormat="1" x14ac:dyDescent="0.2">
      <c r="A9" s="101">
        <v>2</v>
      </c>
      <c r="B9" s="133" t="s">
        <v>6</v>
      </c>
      <c r="C9" s="51">
        <f>HLOOKUP(B9,'Ressourcenausgleich Basis'!$C$8:$CB$151,144,FALSE)</f>
        <v>5085700</v>
      </c>
      <c r="D9" s="116">
        <f>HLOOKUP(B9,'SL Weite Basis'!$C$8:$CB$74,67,FALSE)</f>
        <v>0</v>
      </c>
      <c r="E9" s="116">
        <f>HLOOKUP(B9,'SL Schule Basis'!$C$8:$CB$65,58,FALSE)</f>
        <v>360200</v>
      </c>
      <c r="F9" s="51">
        <f>HLOOKUP(B9,'SL Sozio Basis'!$C$8:$CB$55,48,FALSE)</f>
        <v>303500</v>
      </c>
      <c r="G9" s="116">
        <v>0</v>
      </c>
      <c r="H9" s="138">
        <f t="shared" si="0"/>
        <v>5749400</v>
      </c>
      <c r="I9" s="5"/>
      <c r="J9" s="210">
        <v>2</v>
      </c>
      <c r="K9" s="211" t="s">
        <v>6</v>
      </c>
      <c r="L9" s="189">
        <v>5085700</v>
      </c>
      <c r="M9" s="190">
        <v>0</v>
      </c>
      <c r="N9" s="189">
        <v>359600</v>
      </c>
      <c r="O9" s="190">
        <v>302400</v>
      </c>
      <c r="P9" s="189">
        <v>0</v>
      </c>
      <c r="Q9" s="212">
        <v>5747700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WQL9" s="38"/>
      <c r="WQM9" s="38"/>
      <c r="WQN9" s="38"/>
      <c r="WQO9" s="38"/>
      <c r="WQP9" s="38"/>
      <c r="WQQ9" s="38"/>
      <c r="WQR9" s="38"/>
      <c r="WQS9" s="38"/>
      <c r="WQT9" s="38"/>
      <c r="WQU9" s="38"/>
      <c r="WQV9" s="38"/>
      <c r="WQW9" s="38"/>
      <c r="WQX9" s="38"/>
      <c r="WQY9" s="38"/>
      <c r="WQZ9" s="38"/>
      <c r="WRA9" s="38"/>
      <c r="WRB9" s="38"/>
      <c r="WRC9" s="38"/>
      <c r="WRD9" s="38"/>
      <c r="WRE9" s="38"/>
      <c r="WRF9" s="38"/>
      <c r="WRG9" s="38"/>
      <c r="WRH9" s="38"/>
      <c r="WRI9" s="38"/>
      <c r="WRJ9" s="38"/>
      <c r="WRK9" s="38"/>
      <c r="WRL9" s="38"/>
      <c r="WRM9" s="38"/>
      <c r="WRN9" s="38"/>
      <c r="WRO9" s="38"/>
      <c r="WRP9" s="38"/>
      <c r="WRQ9" s="38"/>
      <c r="WRR9" s="38"/>
      <c r="WRS9" s="38"/>
      <c r="WRT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</row>
    <row r="10" spans="1:780 1062:5519 16002:16338" x14ac:dyDescent="0.2">
      <c r="A10" s="101">
        <v>3</v>
      </c>
      <c r="B10" s="133" t="s">
        <v>7</v>
      </c>
      <c r="C10" s="51">
        <f>HLOOKUP(B10,'Ressourcenausgleich Basis'!$C$8:$CB$151,144,FALSE)</f>
        <v>852800</v>
      </c>
      <c r="D10" s="116">
        <f>HLOOKUP(B10,'SL Weite Basis'!$C$8:$CB$74,67,FALSE)</f>
        <v>402900</v>
      </c>
      <c r="E10" s="116">
        <f>HLOOKUP(B10,'SL Schule Basis'!$C$8:$CB$65,58,FALSE)</f>
        <v>358300</v>
      </c>
      <c r="F10" s="51">
        <f>HLOOKUP(B10,'SL Sozio Basis'!$C$8:$CB$55,48,FALSE)</f>
        <v>0</v>
      </c>
      <c r="G10" s="116">
        <v>0</v>
      </c>
      <c r="H10" s="138">
        <f t="shared" si="0"/>
        <v>1614000</v>
      </c>
      <c r="J10" s="213">
        <v>3</v>
      </c>
      <c r="K10" s="214" t="s">
        <v>7</v>
      </c>
      <c r="L10" s="189">
        <v>852800</v>
      </c>
      <c r="M10" s="190">
        <v>402900</v>
      </c>
      <c r="N10" s="189">
        <v>357500</v>
      </c>
      <c r="O10" s="190">
        <v>0</v>
      </c>
      <c r="P10" s="189">
        <v>0</v>
      </c>
      <c r="Q10" s="212">
        <v>1613200</v>
      </c>
    </row>
    <row r="11" spans="1:780 1062:5519 16002:16338" x14ac:dyDescent="0.2">
      <c r="A11" s="101">
        <v>4</v>
      </c>
      <c r="B11" s="133" t="s">
        <v>8</v>
      </c>
      <c r="C11" s="51">
        <f>HLOOKUP(B11,'Ressourcenausgleich Basis'!$C$8:$CB$151,144,FALSE)</f>
        <v>931400</v>
      </c>
      <c r="D11" s="116">
        <f>HLOOKUP(B11,'SL Weite Basis'!$C$8:$CB$74,67,FALSE)</f>
        <v>636900</v>
      </c>
      <c r="E11" s="116">
        <f>HLOOKUP(B11,'SL Schule Basis'!$C$8:$CB$65,58,FALSE)</f>
        <v>191500</v>
      </c>
      <c r="F11" s="51">
        <f>HLOOKUP(B11,'SL Sozio Basis'!$C$8:$CB$55,48,FALSE)</f>
        <v>0</v>
      </c>
      <c r="G11" s="116">
        <v>0</v>
      </c>
      <c r="H11" s="138">
        <f t="shared" si="0"/>
        <v>1759800</v>
      </c>
      <c r="J11" s="213">
        <v>4</v>
      </c>
      <c r="K11" s="214" t="s">
        <v>8</v>
      </c>
      <c r="L11" s="189">
        <v>931400</v>
      </c>
      <c r="M11" s="190">
        <v>636900</v>
      </c>
      <c r="N11" s="189">
        <v>191100</v>
      </c>
      <c r="O11" s="190">
        <v>0</v>
      </c>
      <c r="P11" s="189">
        <v>0</v>
      </c>
      <c r="Q11" s="212">
        <v>1759400</v>
      </c>
    </row>
    <row r="12" spans="1:780 1062:5519 16002:16338" x14ac:dyDescent="0.2">
      <c r="A12" s="101">
        <v>5</v>
      </c>
      <c r="B12" s="133" t="s">
        <v>9</v>
      </c>
      <c r="C12" s="51">
        <f>HLOOKUP(B12,'Ressourcenausgleich Basis'!$C$8:$CB$151,144,FALSE)</f>
        <v>0</v>
      </c>
      <c r="D12" s="116">
        <f>HLOOKUP(B12,'SL Weite Basis'!$C$8:$CB$74,67,FALSE)</f>
        <v>0</v>
      </c>
      <c r="E12" s="116">
        <f>HLOOKUP(B12,'SL Schule Basis'!$C$8:$CB$65,58,FALSE)</f>
        <v>0</v>
      </c>
      <c r="F12" s="51">
        <f>HLOOKUP(B12,'SL Sozio Basis'!$C$8:$CB$55,48,FALSE)</f>
        <v>0</v>
      </c>
      <c r="G12" s="116">
        <v>0</v>
      </c>
      <c r="H12" s="138">
        <f t="shared" si="0"/>
        <v>0</v>
      </c>
      <c r="J12" s="213">
        <v>5</v>
      </c>
      <c r="K12" s="214" t="s">
        <v>9</v>
      </c>
      <c r="L12" s="189">
        <v>0</v>
      </c>
      <c r="M12" s="190">
        <v>0</v>
      </c>
      <c r="N12" s="189">
        <v>0</v>
      </c>
      <c r="O12" s="190">
        <v>0</v>
      </c>
      <c r="P12" s="189">
        <v>0</v>
      </c>
      <c r="Q12" s="212">
        <v>0</v>
      </c>
    </row>
    <row r="13" spans="1:780 1062:5519 16002:16338" x14ac:dyDescent="0.2">
      <c r="A13" s="101">
        <v>6</v>
      </c>
      <c r="B13" s="133" t="s">
        <v>10</v>
      </c>
      <c r="C13" s="51">
        <f>HLOOKUP(B13,'Ressourcenausgleich Basis'!$C$8:$CB$151,144,FALSE)</f>
        <v>0</v>
      </c>
      <c r="D13" s="116">
        <f>HLOOKUP(B13,'SL Weite Basis'!$C$8:$CB$74,67,FALSE)</f>
        <v>0</v>
      </c>
      <c r="E13" s="116">
        <f>HLOOKUP(B13,'SL Schule Basis'!$C$8:$CB$65,58,FALSE)</f>
        <v>0</v>
      </c>
      <c r="F13" s="51">
        <f>HLOOKUP(B13,'SL Sozio Basis'!$C$8:$CB$55,48,FALSE)</f>
        <v>319300</v>
      </c>
      <c r="G13" s="116">
        <v>0</v>
      </c>
      <c r="H13" s="138">
        <f t="shared" si="0"/>
        <v>319300</v>
      </c>
      <c r="J13" s="213">
        <v>6</v>
      </c>
      <c r="K13" s="214" t="s">
        <v>10</v>
      </c>
      <c r="L13" s="189">
        <v>0</v>
      </c>
      <c r="M13" s="190">
        <v>0</v>
      </c>
      <c r="N13" s="189">
        <v>0</v>
      </c>
      <c r="O13" s="190">
        <v>318900</v>
      </c>
      <c r="P13" s="189">
        <v>0</v>
      </c>
      <c r="Q13" s="212">
        <v>318900</v>
      </c>
    </row>
    <row r="14" spans="1:780 1062:5519 16002:16338" x14ac:dyDescent="0.2">
      <c r="A14" s="101">
        <v>7</v>
      </c>
      <c r="B14" s="133" t="s">
        <v>11</v>
      </c>
      <c r="C14" s="51">
        <f>HLOOKUP(B14,'Ressourcenausgleich Basis'!$C$8:$CB$151,144,FALSE)</f>
        <v>0</v>
      </c>
      <c r="D14" s="116">
        <f>HLOOKUP(B14,'SL Weite Basis'!$C$8:$CB$74,67,FALSE)</f>
        <v>0</v>
      </c>
      <c r="E14" s="116">
        <f>HLOOKUP(B14,'SL Schule Basis'!$C$8:$CB$65,58,FALSE)</f>
        <v>0</v>
      </c>
      <c r="F14" s="51">
        <f>HLOOKUP(B14,'SL Sozio Basis'!$C$8:$CB$55,48,FALSE)</f>
        <v>0</v>
      </c>
      <c r="G14" s="116">
        <v>0</v>
      </c>
      <c r="H14" s="138">
        <f t="shared" si="0"/>
        <v>0</v>
      </c>
      <c r="J14" s="213">
        <v>7</v>
      </c>
      <c r="K14" s="214" t="s">
        <v>11</v>
      </c>
      <c r="L14" s="189">
        <v>0</v>
      </c>
      <c r="M14" s="190">
        <v>0</v>
      </c>
      <c r="N14" s="189">
        <v>0</v>
      </c>
      <c r="O14" s="190">
        <v>0</v>
      </c>
      <c r="P14" s="189">
        <v>0</v>
      </c>
      <c r="Q14" s="212">
        <v>0</v>
      </c>
    </row>
    <row r="15" spans="1:780 1062:5519 16002:16338" x14ac:dyDescent="0.2">
      <c r="A15" s="101">
        <v>8</v>
      </c>
      <c r="B15" s="133" t="s">
        <v>12</v>
      </c>
      <c r="C15" s="51">
        <f>HLOOKUP(B15,'Ressourcenausgleich Basis'!$C$8:$CB$151,144,FALSE)</f>
        <v>0</v>
      </c>
      <c r="D15" s="116">
        <f>HLOOKUP(B15,'SL Weite Basis'!$C$8:$CB$74,67,FALSE)</f>
        <v>70300</v>
      </c>
      <c r="E15" s="116">
        <f>HLOOKUP(B15,'SL Schule Basis'!$C$8:$CB$65,58,FALSE)</f>
        <v>25600</v>
      </c>
      <c r="F15" s="51">
        <f>HLOOKUP(B15,'SL Sozio Basis'!$C$8:$CB$55,48,FALSE)</f>
        <v>0</v>
      </c>
      <c r="G15" s="116">
        <v>0</v>
      </c>
      <c r="H15" s="138">
        <f t="shared" si="0"/>
        <v>95900</v>
      </c>
      <c r="J15" s="213">
        <v>8</v>
      </c>
      <c r="K15" s="214" t="s">
        <v>12</v>
      </c>
      <c r="L15" s="189">
        <v>0</v>
      </c>
      <c r="M15" s="190">
        <v>70300</v>
      </c>
      <c r="N15" s="189">
        <v>25500</v>
      </c>
      <c r="O15" s="190">
        <v>0</v>
      </c>
      <c r="P15" s="189">
        <v>0</v>
      </c>
      <c r="Q15" s="212">
        <v>95800</v>
      </c>
    </row>
    <row r="16" spans="1:780 1062:5519 16002:16338" x14ac:dyDescent="0.2">
      <c r="A16" s="101">
        <v>9</v>
      </c>
      <c r="B16" s="133" t="s">
        <v>13</v>
      </c>
      <c r="C16" s="51">
        <f>HLOOKUP(B16,'Ressourcenausgleich Basis'!$C$8:$CB$151,144,FALSE)</f>
        <v>0</v>
      </c>
      <c r="D16" s="116">
        <f>HLOOKUP(B16,'SL Weite Basis'!$C$8:$CB$74,67,FALSE)</f>
        <v>0</v>
      </c>
      <c r="E16" s="116">
        <f>HLOOKUP(B16,'SL Schule Basis'!$C$8:$CB$65,58,FALSE)</f>
        <v>0</v>
      </c>
      <c r="F16" s="51">
        <f>HLOOKUP(B16,'SL Sozio Basis'!$C$8:$CB$55,48,FALSE)</f>
        <v>0</v>
      </c>
      <c r="G16" s="116">
        <v>0</v>
      </c>
      <c r="H16" s="138">
        <f t="shared" si="0"/>
        <v>0</v>
      </c>
      <c r="J16" s="213">
        <v>9</v>
      </c>
      <c r="K16" s="214" t="s">
        <v>13</v>
      </c>
      <c r="L16" s="189">
        <v>0</v>
      </c>
      <c r="M16" s="190">
        <v>0</v>
      </c>
      <c r="N16" s="189">
        <v>0</v>
      </c>
      <c r="O16" s="190">
        <v>0</v>
      </c>
      <c r="P16" s="189">
        <v>0</v>
      </c>
      <c r="Q16" s="212">
        <v>0</v>
      </c>
    </row>
    <row r="17" spans="1:17" x14ac:dyDescent="0.2">
      <c r="A17" s="101">
        <v>10</v>
      </c>
      <c r="B17" s="133" t="s">
        <v>14</v>
      </c>
      <c r="C17" s="51">
        <f>HLOOKUP(B17,'Ressourcenausgleich Basis'!$C$8:$CB$151,144,FALSE)</f>
        <v>159400</v>
      </c>
      <c r="D17" s="116">
        <f>HLOOKUP(B17,'SL Weite Basis'!$C$8:$CB$74,67,FALSE)</f>
        <v>292300</v>
      </c>
      <c r="E17" s="116">
        <f>HLOOKUP(B17,'SL Schule Basis'!$C$8:$CB$65,58,FALSE)</f>
        <v>282100</v>
      </c>
      <c r="F17" s="51">
        <f>HLOOKUP(B17,'SL Sozio Basis'!$C$8:$CB$55,48,FALSE)</f>
        <v>0</v>
      </c>
      <c r="G17" s="116">
        <v>0</v>
      </c>
      <c r="H17" s="138">
        <f t="shared" si="0"/>
        <v>733800</v>
      </c>
      <c r="J17" s="213">
        <v>10</v>
      </c>
      <c r="K17" s="214" t="s">
        <v>14</v>
      </c>
      <c r="L17" s="189">
        <v>159400</v>
      </c>
      <c r="M17" s="190">
        <v>292300</v>
      </c>
      <c r="N17" s="189">
        <v>281500</v>
      </c>
      <c r="O17" s="190">
        <v>0</v>
      </c>
      <c r="P17" s="189">
        <v>0</v>
      </c>
      <c r="Q17" s="212">
        <v>733200</v>
      </c>
    </row>
    <row r="18" spans="1:17" x14ac:dyDescent="0.2">
      <c r="A18" s="101">
        <v>11</v>
      </c>
      <c r="B18" s="133" t="s">
        <v>15</v>
      </c>
      <c r="C18" s="51">
        <f>HLOOKUP(B18,'Ressourcenausgleich Basis'!$C$8:$CB$151,144,FALSE)</f>
        <v>710200</v>
      </c>
      <c r="D18" s="116">
        <f>HLOOKUP(B18,'SL Weite Basis'!$C$8:$CB$74,67,FALSE)</f>
        <v>635300</v>
      </c>
      <c r="E18" s="116">
        <f>HLOOKUP(B18,'SL Schule Basis'!$C$8:$CB$65,58,FALSE)</f>
        <v>472800</v>
      </c>
      <c r="F18" s="51">
        <f>HLOOKUP(B18,'SL Sozio Basis'!$C$8:$CB$55,48,FALSE)</f>
        <v>0</v>
      </c>
      <c r="G18" s="116">
        <v>0</v>
      </c>
      <c r="H18" s="138">
        <f t="shared" si="0"/>
        <v>1818300</v>
      </c>
      <c r="J18" s="213">
        <v>11</v>
      </c>
      <c r="K18" s="214" t="s">
        <v>15</v>
      </c>
      <c r="L18" s="189">
        <v>710200</v>
      </c>
      <c r="M18" s="190">
        <v>635300</v>
      </c>
      <c r="N18" s="189">
        <v>471800</v>
      </c>
      <c r="O18" s="190">
        <v>0</v>
      </c>
      <c r="P18" s="189">
        <v>0</v>
      </c>
      <c r="Q18" s="212">
        <v>1817300</v>
      </c>
    </row>
    <row r="19" spans="1:17" x14ac:dyDescent="0.2">
      <c r="A19" s="101">
        <v>12</v>
      </c>
      <c r="B19" s="133" t="s">
        <v>16</v>
      </c>
      <c r="C19" s="51">
        <f>HLOOKUP(B19,'Ressourcenausgleich Basis'!$C$8:$CB$151,144,FALSE)</f>
        <v>0</v>
      </c>
      <c r="D19" s="116">
        <f>HLOOKUP(B19,'SL Weite Basis'!$C$8:$CB$74,67,FALSE)</f>
        <v>0</v>
      </c>
      <c r="E19" s="116">
        <f>HLOOKUP(B19,'SL Schule Basis'!$C$8:$CB$65,58,FALSE)</f>
        <v>0</v>
      </c>
      <c r="F19" s="51">
        <f>HLOOKUP(B19,'SL Sozio Basis'!$C$8:$CB$55,48,FALSE)</f>
        <v>0</v>
      </c>
      <c r="G19" s="116">
        <v>0</v>
      </c>
      <c r="H19" s="138">
        <f t="shared" si="0"/>
        <v>0</v>
      </c>
      <c r="J19" s="213">
        <v>12</v>
      </c>
      <c r="K19" s="214" t="s">
        <v>16</v>
      </c>
      <c r="L19" s="189">
        <v>0</v>
      </c>
      <c r="M19" s="190">
        <v>0</v>
      </c>
      <c r="N19" s="189">
        <v>0</v>
      </c>
      <c r="O19" s="190">
        <v>0</v>
      </c>
      <c r="P19" s="189">
        <v>0</v>
      </c>
      <c r="Q19" s="212">
        <v>0</v>
      </c>
    </row>
    <row r="20" spans="1:17" x14ac:dyDescent="0.2">
      <c r="A20" s="101">
        <v>13</v>
      </c>
      <c r="B20" s="133" t="s">
        <v>17</v>
      </c>
      <c r="C20" s="51">
        <f>HLOOKUP(B20,'Ressourcenausgleich Basis'!$C$8:$CB$151,144,FALSE)</f>
        <v>5072400</v>
      </c>
      <c r="D20" s="116">
        <f>HLOOKUP(B20,'SL Weite Basis'!$C$8:$CB$74,67,FALSE)</f>
        <v>0</v>
      </c>
      <c r="E20" s="116">
        <f>HLOOKUP(B20,'SL Schule Basis'!$C$8:$CB$65,58,FALSE)</f>
        <v>0</v>
      </c>
      <c r="F20" s="51">
        <f>HLOOKUP(B20,'SL Sozio Basis'!$C$8:$CB$55,48,FALSE)</f>
        <v>1355400</v>
      </c>
      <c r="G20" s="116">
        <v>0</v>
      </c>
      <c r="H20" s="138">
        <f t="shared" si="0"/>
        <v>6427800</v>
      </c>
      <c r="J20" s="213">
        <v>13</v>
      </c>
      <c r="K20" s="214" t="s">
        <v>17</v>
      </c>
      <c r="L20" s="189">
        <v>5072400</v>
      </c>
      <c r="M20" s="190">
        <v>0</v>
      </c>
      <c r="N20" s="189">
        <v>0</v>
      </c>
      <c r="O20" s="190">
        <v>1354300</v>
      </c>
      <c r="P20" s="189">
        <v>0</v>
      </c>
      <c r="Q20" s="212">
        <v>6426700</v>
      </c>
    </row>
    <row r="21" spans="1:17" x14ac:dyDescent="0.2">
      <c r="A21" s="101">
        <v>14</v>
      </c>
      <c r="B21" s="133" t="s">
        <v>18</v>
      </c>
      <c r="C21" s="51">
        <f>HLOOKUP(B21,'Ressourcenausgleich Basis'!$C$8:$CB$151,144,FALSE)</f>
        <v>0</v>
      </c>
      <c r="D21" s="116">
        <f>HLOOKUP(B21,'SL Weite Basis'!$C$8:$CB$74,67,FALSE)</f>
        <v>0</v>
      </c>
      <c r="E21" s="116">
        <f>HLOOKUP(B21,'SL Schule Basis'!$C$8:$CB$65,58,FALSE)</f>
        <v>0</v>
      </c>
      <c r="F21" s="51">
        <f>HLOOKUP(B21,'SL Sozio Basis'!$C$8:$CB$55,48,FALSE)</f>
        <v>0</v>
      </c>
      <c r="G21" s="116">
        <v>0</v>
      </c>
      <c r="H21" s="138">
        <f t="shared" si="0"/>
        <v>0</v>
      </c>
      <c r="J21" s="213">
        <v>14</v>
      </c>
      <c r="K21" s="214" t="s">
        <v>18</v>
      </c>
      <c r="L21" s="189">
        <v>0</v>
      </c>
      <c r="M21" s="190">
        <v>0</v>
      </c>
      <c r="N21" s="189">
        <v>0</v>
      </c>
      <c r="O21" s="190">
        <v>0</v>
      </c>
      <c r="P21" s="189">
        <v>0</v>
      </c>
      <c r="Q21" s="212">
        <v>0</v>
      </c>
    </row>
    <row r="22" spans="1:17" x14ac:dyDescent="0.2">
      <c r="A22" s="101">
        <v>15</v>
      </c>
      <c r="B22" s="133" t="s">
        <v>19</v>
      </c>
      <c r="C22" s="51">
        <f>HLOOKUP(B22,'Ressourcenausgleich Basis'!$C$8:$CB$151,144,FALSE)</f>
        <v>1068200</v>
      </c>
      <c r="D22" s="116">
        <f>HLOOKUP(B22,'SL Weite Basis'!$C$8:$CB$74,67,FALSE)</f>
        <v>0</v>
      </c>
      <c r="E22" s="116">
        <f>HLOOKUP(B22,'SL Schule Basis'!$C$8:$CB$65,58,FALSE)</f>
        <v>0</v>
      </c>
      <c r="F22" s="51">
        <f>HLOOKUP(B22,'SL Sozio Basis'!$C$8:$CB$55,48,FALSE)</f>
        <v>277200</v>
      </c>
      <c r="G22" s="116">
        <v>0</v>
      </c>
      <c r="H22" s="138">
        <f t="shared" si="0"/>
        <v>1345400</v>
      </c>
      <c r="J22" s="213">
        <v>15</v>
      </c>
      <c r="K22" s="214" t="s">
        <v>19</v>
      </c>
      <c r="L22" s="189">
        <v>1068200</v>
      </c>
      <c r="M22" s="190">
        <v>0</v>
      </c>
      <c r="N22" s="189">
        <v>0</v>
      </c>
      <c r="O22" s="190">
        <v>276800</v>
      </c>
      <c r="P22" s="189">
        <v>0</v>
      </c>
      <c r="Q22" s="212">
        <v>1345000</v>
      </c>
    </row>
    <row r="23" spans="1:17" x14ac:dyDescent="0.2">
      <c r="A23" s="101">
        <v>16</v>
      </c>
      <c r="B23" s="133" t="s">
        <v>20</v>
      </c>
      <c r="C23" s="51">
        <f>HLOOKUP(B23,'Ressourcenausgleich Basis'!$C$8:$CB$151,144,FALSE)</f>
        <v>3703400</v>
      </c>
      <c r="D23" s="116">
        <f>HLOOKUP(B23,'SL Weite Basis'!$C$8:$CB$74,67,FALSE)</f>
        <v>0</v>
      </c>
      <c r="E23" s="116">
        <f>HLOOKUP(B23,'SL Schule Basis'!$C$8:$CB$65,58,FALSE)</f>
        <v>7000</v>
      </c>
      <c r="F23" s="51">
        <f>HLOOKUP(B23,'SL Sozio Basis'!$C$8:$CB$55,48,FALSE)</f>
        <v>113800</v>
      </c>
      <c r="G23" s="116">
        <v>0</v>
      </c>
      <c r="H23" s="138">
        <f t="shared" si="0"/>
        <v>3824200</v>
      </c>
      <c r="J23" s="213">
        <v>16</v>
      </c>
      <c r="K23" s="214" t="s">
        <v>20</v>
      </c>
      <c r="L23" s="189">
        <v>3703400</v>
      </c>
      <c r="M23" s="190">
        <v>0</v>
      </c>
      <c r="N23" s="189">
        <v>7000</v>
      </c>
      <c r="O23" s="190">
        <v>113500</v>
      </c>
      <c r="P23" s="189">
        <v>0</v>
      </c>
      <c r="Q23" s="212">
        <v>3823900</v>
      </c>
    </row>
    <row r="24" spans="1:17" x14ac:dyDescent="0.2">
      <c r="A24" s="101">
        <v>17</v>
      </c>
      <c r="B24" s="133" t="s">
        <v>21</v>
      </c>
      <c r="C24" s="51">
        <f>HLOOKUP(B24,'Ressourcenausgleich Basis'!$C$8:$CB$151,144,FALSE)</f>
        <v>0</v>
      </c>
      <c r="D24" s="116">
        <f>HLOOKUP(B24,'SL Weite Basis'!$C$8:$CB$74,67,FALSE)</f>
        <v>0</v>
      </c>
      <c r="E24" s="116">
        <f>HLOOKUP(B24,'SL Schule Basis'!$C$8:$CB$65,58,FALSE)</f>
        <v>0</v>
      </c>
      <c r="F24" s="51">
        <f>HLOOKUP(B24,'SL Sozio Basis'!$C$8:$CB$55,48,FALSE)</f>
        <v>55800</v>
      </c>
      <c r="G24" s="116">
        <v>0</v>
      </c>
      <c r="H24" s="138">
        <f t="shared" si="0"/>
        <v>55800</v>
      </c>
      <c r="J24" s="213">
        <v>17</v>
      </c>
      <c r="K24" s="214" t="s">
        <v>21</v>
      </c>
      <c r="L24" s="189">
        <v>0</v>
      </c>
      <c r="M24" s="190">
        <v>0</v>
      </c>
      <c r="N24" s="189">
        <v>0</v>
      </c>
      <c r="O24" s="190">
        <v>55000</v>
      </c>
      <c r="P24" s="189">
        <v>0</v>
      </c>
      <c r="Q24" s="212">
        <v>55000</v>
      </c>
    </row>
    <row r="25" spans="1:17" x14ac:dyDescent="0.2">
      <c r="A25" s="101">
        <v>18</v>
      </c>
      <c r="B25" s="133" t="s">
        <v>22</v>
      </c>
      <c r="C25" s="51">
        <f>HLOOKUP(B25,'Ressourcenausgleich Basis'!$C$8:$CB$151,144,FALSE)</f>
        <v>0</v>
      </c>
      <c r="D25" s="116">
        <f>HLOOKUP(B25,'SL Weite Basis'!$C$8:$CB$74,67,FALSE)</f>
        <v>0</v>
      </c>
      <c r="E25" s="116">
        <f>HLOOKUP(B25,'SL Schule Basis'!$C$8:$CB$65,58,FALSE)</f>
        <v>44200</v>
      </c>
      <c r="F25" s="51">
        <f>HLOOKUP(B25,'SL Sozio Basis'!$C$8:$CB$55,48,FALSE)</f>
        <v>18400</v>
      </c>
      <c r="G25" s="116">
        <v>0</v>
      </c>
      <c r="H25" s="138">
        <f t="shared" si="0"/>
        <v>62600</v>
      </c>
      <c r="J25" s="213">
        <v>18</v>
      </c>
      <c r="K25" s="214" t="s">
        <v>22</v>
      </c>
      <c r="L25" s="189">
        <v>0</v>
      </c>
      <c r="M25" s="190">
        <v>0</v>
      </c>
      <c r="N25" s="189">
        <v>44100</v>
      </c>
      <c r="O25" s="190">
        <v>18200</v>
      </c>
      <c r="P25" s="189">
        <v>0</v>
      </c>
      <c r="Q25" s="212">
        <v>62300</v>
      </c>
    </row>
    <row r="26" spans="1:17" x14ac:dyDescent="0.2">
      <c r="A26" s="101">
        <v>19</v>
      </c>
      <c r="B26" s="133" t="s">
        <v>23</v>
      </c>
      <c r="C26" s="51">
        <f>HLOOKUP(B26,'Ressourcenausgleich Basis'!$C$8:$CB$151,144,FALSE)</f>
        <v>0</v>
      </c>
      <c r="D26" s="116">
        <f>HLOOKUP(B26,'SL Weite Basis'!$C$8:$CB$74,67,FALSE)</f>
        <v>0</v>
      </c>
      <c r="E26" s="116">
        <f>HLOOKUP(B26,'SL Schule Basis'!$C$8:$CB$65,58,FALSE)</f>
        <v>0</v>
      </c>
      <c r="F26" s="51">
        <f>HLOOKUP(B26,'SL Sozio Basis'!$C$8:$CB$55,48,FALSE)</f>
        <v>0</v>
      </c>
      <c r="G26" s="116">
        <v>0</v>
      </c>
      <c r="H26" s="138">
        <f t="shared" si="0"/>
        <v>0</v>
      </c>
      <c r="J26" s="213">
        <v>19</v>
      </c>
      <c r="K26" s="214" t="s">
        <v>23</v>
      </c>
      <c r="L26" s="189">
        <v>0</v>
      </c>
      <c r="M26" s="190">
        <v>0</v>
      </c>
      <c r="N26" s="189">
        <v>0</v>
      </c>
      <c r="O26" s="190">
        <v>0</v>
      </c>
      <c r="P26" s="189">
        <v>0</v>
      </c>
      <c r="Q26" s="212">
        <v>0</v>
      </c>
    </row>
    <row r="27" spans="1:17" x14ac:dyDescent="0.2">
      <c r="A27" s="101">
        <v>20</v>
      </c>
      <c r="B27" s="133" t="s">
        <v>24</v>
      </c>
      <c r="C27" s="51">
        <f>HLOOKUP(B27,'Ressourcenausgleich Basis'!$C$8:$CB$151,144,FALSE)</f>
        <v>0</v>
      </c>
      <c r="D27" s="116">
        <f>HLOOKUP(B27,'SL Weite Basis'!$C$8:$CB$74,67,FALSE)</f>
        <v>0</v>
      </c>
      <c r="E27" s="116">
        <f>HLOOKUP(B27,'SL Schule Basis'!$C$8:$CB$65,58,FALSE)</f>
        <v>549600</v>
      </c>
      <c r="F27" s="51">
        <f>HLOOKUP(B27,'SL Sozio Basis'!$C$8:$CB$55,48,FALSE)</f>
        <v>0</v>
      </c>
      <c r="G27" s="116">
        <v>0</v>
      </c>
      <c r="H27" s="138">
        <f t="shared" si="0"/>
        <v>549600</v>
      </c>
      <c r="J27" s="213">
        <v>20</v>
      </c>
      <c r="K27" s="214" t="s">
        <v>24</v>
      </c>
      <c r="L27" s="189">
        <v>0</v>
      </c>
      <c r="M27" s="190">
        <v>0</v>
      </c>
      <c r="N27" s="189">
        <v>548400</v>
      </c>
      <c r="O27" s="190">
        <v>0</v>
      </c>
      <c r="P27" s="189">
        <v>0</v>
      </c>
      <c r="Q27" s="212">
        <v>548400</v>
      </c>
    </row>
    <row r="28" spans="1:17" x14ac:dyDescent="0.2">
      <c r="A28" s="101">
        <v>21</v>
      </c>
      <c r="B28" s="133" t="s">
        <v>25</v>
      </c>
      <c r="C28" s="51">
        <f>HLOOKUP(B28,'Ressourcenausgleich Basis'!$C$8:$CB$151,144,FALSE)</f>
        <v>0</v>
      </c>
      <c r="D28" s="116">
        <f>HLOOKUP(B28,'SL Weite Basis'!$C$8:$CB$74,67,FALSE)</f>
        <v>0</v>
      </c>
      <c r="E28" s="116">
        <f>HLOOKUP(B28,'SL Schule Basis'!$C$8:$CB$65,58,FALSE)</f>
        <v>25900</v>
      </c>
      <c r="F28" s="51">
        <f>HLOOKUP(B28,'SL Sozio Basis'!$C$8:$CB$55,48,FALSE)</f>
        <v>0</v>
      </c>
      <c r="G28" s="116">
        <v>0</v>
      </c>
      <c r="H28" s="138">
        <f t="shared" si="0"/>
        <v>25900</v>
      </c>
      <c r="J28" s="213">
        <v>21</v>
      </c>
      <c r="K28" s="214" t="s">
        <v>25</v>
      </c>
      <c r="L28" s="189">
        <v>0</v>
      </c>
      <c r="M28" s="190">
        <v>0</v>
      </c>
      <c r="N28" s="189">
        <v>25800</v>
      </c>
      <c r="O28" s="190">
        <v>0</v>
      </c>
      <c r="P28" s="189">
        <v>0</v>
      </c>
      <c r="Q28" s="212">
        <v>25800</v>
      </c>
    </row>
    <row r="29" spans="1:17" x14ac:dyDescent="0.2">
      <c r="A29" s="101">
        <v>22</v>
      </c>
      <c r="B29" s="133" t="s">
        <v>26</v>
      </c>
      <c r="C29" s="51">
        <f>HLOOKUP(B29,'Ressourcenausgleich Basis'!$C$8:$CB$151,144,FALSE)</f>
        <v>786200</v>
      </c>
      <c r="D29" s="116">
        <f>HLOOKUP(B29,'SL Weite Basis'!$C$8:$CB$74,67,FALSE)</f>
        <v>0</v>
      </c>
      <c r="E29" s="116">
        <f>HLOOKUP(B29,'SL Schule Basis'!$C$8:$CB$65,58,FALSE)</f>
        <v>0</v>
      </c>
      <c r="F29" s="51">
        <f>HLOOKUP(B29,'SL Sozio Basis'!$C$8:$CB$55,48,FALSE)</f>
        <v>99900</v>
      </c>
      <c r="G29" s="116">
        <v>0</v>
      </c>
      <c r="H29" s="138">
        <f t="shared" si="0"/>
        <v>886100</v>
      </c>
      <c r="J29" s="213">
        <v>22</v>
      </c>
      <c r="K29" s="214" t="s">
        <v>26</v>
      </c>
      <c r="L29" s="189">
        <v>786200</v>
      </c>
      <c r="M29" s="190">
        <v>0</v>
      </c>
      <c r="N29" s="189">
        <v>0</v>
      </c>
      <c r="O29" s="190">
        <v>99700</v>
      </c>
      <c r="P29" s="189">
        <v>0</v>
      </c>
      <c r="Q29" s="212">
        <v>885900</v>
      </c>
    </row>
    <row r="30" spans="1:17" x14ac:dyDescent="0.2">
      <c r="A30" s="101">
        <v>23</v>
      </c>
      <c r="B30" s="133" t="s">
        <v>27</v>
      </c>
      <c r="C30" s="51">
        <f>HLOOKUP(B30,'Ressourcenausgleich Basis'!$C$8:$CB$151,144,FALSE)</f>
        <v>750200</v>
      </c>
      <c r="D30" s="116">
        <f>HLOOKUP(B30,'SL Weite Basis'!$C$8:$CB$74,67,FALSE)</f>
        <v>138600</v>
      </c>
      <c r="E30" s="116">
        <f>HLOOKUP(B30,'SL Schule Basis'!$C$8:$CB$65,58,FALSE)</f>
        <v>277200</v>
      </c>
      <c r="F30" s="51">
        <f>HLOOKUP(B30,'SL Sozio Basis'!$C$8:$CB$55,48,FALSE)</f>
        <v>0</v>
      </c>
      <c r="G30" s="116">
        <v>0</v>
      </c>
      <c r="H30" s="138">
        <f t="shared" si="0"/>
        <v>1166000</v>
      </c>
      <c r="J30" s="213">
        <v>23</v>
      </c>
      <c r="K30" s="214" t="s">
        <v>27</v>
      </c>
      <c r="L30" s="189">
        <v>750200</v>
      </c>
      <c r="M30" s="190">
        <v>138600</v>
      </c>
      <c r="N30" s="189">
        <v>276600</v>
      </c>
      <c r="O30" s="190">
        <v>0</v>
      </c>
      <c r="P30" s="189">
        <v>0</v>
      </c>
      <c r="Q30" s="212">
        <v>1165400</v>
      </c>
    </row>
    <row r="31" spans="1:17" x14ac:dyDescent="0.2">
      <c r="A31" s="101">
        <v>24</v>
      </c>
      <c r="B31" s="133" t="s">
        <v>28</v>
      </c>
      <c r="C31" s="51">
        <f>HLOOKUP(B31,'Ressourcenausgleich Basis'!$C$8:$CB$151,144,FALSE)</f>
        <v>51900</v>
      </c>
      <c r="D31" s="116">
        <f>HLOOKUP(B31,'SL Weite Basis'!$C$8:$CB$74,67,FALSE)</f>
        <v>1068900</v>
      </c>
      <c r="E31" s="116">
        <f>HLOOKUP(B31,'SL Schule Basis'!$C$8:$CB$65,58,FALSE)</f>
        <v>0</v>
      </c>
      <c r="F31" s="51">
        <f>HLOOKUP(B31,'SL Sozio Basis'!$C$8:$CB$55,48,FALSE)</f>
        <v>135900</v>
      </c>
      <c r="G31" s="116">
        <v>0</v>
      </c>
      <c r="H31" s="138">
        <f t="shared" si="0"/>
        <v>1256700</v>
      </c>
      <c r="J31" s="213">
        <v>24</v>
      </c>
      <c r="K31" s="214" t="s">
        <v>28</v>
      </c>
      <c r="L31" s="189">
        <v>51900</v>
      </c>
      <c r="M31" s="190">
        <v>1068900</v>
      </c>
      <c r="N31" s="189">
        <v>0</v>
      </c>
      <c r="O31" s="190">
        <v>135400</v>
      </c>
      <c r="P31" s="189">
        <v>0</v>
      </c>
      <c r="Q31" s="212">
        <v>1256200</v>
      </c>
    </row>
    <row r="32" spans="1:17" x14ac:dyDescent="0.2">
      <c r="A32" s="101">
        <v>25</v>
      </c>
      <c r="B32" s="133" t="s">
        <v>29</v>
      </c>
      <c r="C32" s="51">
        <f>HLOOKUP(B32,'Ressourcenausgleich Basis'!$C$8:$CB$151,144,FALSE)</f>
        <v>902100</v>
      </c>
      <c r="D32" s="116">
        <f>HLOOKUP(B32,'SL Weite Basis'!$C$8:$CB$74,67,FALSE)</f>
        <v>246000</v>
      </c>
      <c r="E32" s="116">
        <f>HLOOKUP(B32,'SL Schule Basis'!$C$8:$CB$65,58,FALSE)</f>
        <v>277900</v>
      </c>
      <c r="F32" s="51">
        <f>HLOOKUP(B32,'SL Sozio Basis'!$C$8:$CB$55,48,FALSE)</f>
        <v>0</v>
      </c>
      <c r="G32" s="116">
        <v>0</v>
      </c>
      <c r="H32" s="138">
        <f t="shared" si="0"/>
        <v>1426000</v>
      </c>
      <c r="J32" s="213">
        <v>25</v>
      </c>
      <c r="K32" s="214" t="s">
        <v>29</v>
      </c>
      <c r="L32" s="189">
        <v>902100</v>
      </c>
      <c r="M32" s="190">
        <v>246000</v>
      </c>
      <c r="N32" s="189">
        <v>277400</v>
      </c>
      <c r="O32" s="190">
        <v>0</v>
      </c>
      <c r="P32" s="189">
        <v>0</v>
      </c>
      <c r="Q32" s="212">
        <v>1425500</v>
      </c>
    </row>
    <row r="33" spans="1:17" x14ac:dyDescent="0.2">
      <c r="A33" s="101">
        <v>26</v>
      </c>
      <c r="B33" s="133" t="s">
        <v>30</v>
      </c>
      <c r="C33" s="51">
        <f>HLOOKUP(B33,'Ressourcenausgleich Basis'!$C$8:$CB$151,144,FALSE)</f>
        <v>916500</v>
      </c>
      <c r="D33" s="116">
        <f>HLOOKUP(B33,'SL Weite Basis'!$C$8:$CB$74,67,FALSE)</f>
        <v>1482600</v>
      </c>
      <c r="E33" s="116">
        <f>HLOOKUP(B33,'SL Schule Basis'!$C$8:$CB$65,58,FALSE)</f>
        <v>1057800</v>
      </c>
      <c r="F33" s="51">
        <f>HLOOKUP(B33,'SL Sozio Basis'!$C$8:$CB$55,48,FALSE)</f>
        <v>0</v>
      </c>
      <c r="G33" s="116">
        <v>0</v>
      </c>
      <c r="H33" s="138">
        <f t="shared" si="0"/>
        <v>3456900</v>
      </c>
      <c r="J33" s="213">
        <v>26</v>
      </c>
      <c r="K33" s="214" t="s">
        <v>30</v>
      </c>
      <c r="L33" s="189">
        <v>916500</v>
      </c>
      <c r="M33" s="190">
        <v>1482600</v>
      </c>
      <c r="N33" s="189">
        <v>1055600</v>
      </c>
      <c r="O33" s="190">
        <v>0</v>
      </c>
      <c r="P33" s="189">
        <v>0</v>
      </c>
      <c r="Q33" s="212">
        <v>3454700</v>
      </c>
    </row>
    <row r="34" spans="1:17" x14ac:dyDescent="0.2">
      <c r="A34" s="101">
        <v>27</v>
      </c>
      <c r="B34" s="133" t="s">
        <v>31</v>
      </c>
      <c r="C34" s="51">
        <f>HLOOKUP(B34,'Ressourcenausgleich Basis'!$C$8:$CB$151,144,FALSE)</f>
        <v>1074300</v>
      </c>
      <c r="D34" s="116">
        <f>HLOOKUP(B34,'SL Weite Basis'!$C$8:$CB$74,67,FALSE)</f>
        <v>298900</v>
      </c>
      <c r="E34" s="116">
        <f>HLOOKUP(B34,'SL Schule Basis'!$C$8:$CB$65,58,FALSE)</f>
        <v>464400</v>
      </c>
      <c r="F34" s="51">
        <f>HLOOKUP(B34,'SL Sozio Basis'!$C$8:$CB$55,48,FALSE)</f>
        <v>0</v>
      </c>
      <c r="G34" s="116">
        <v>0</v>
      </c>
      <c r="H34" s="138">
        <f t="shared" si="0"/>
        <v>1837600</v>
      </c>
      <c r="J34" s="213">
        <v>27</v>
      </c>
      <c r="K34" s="214" t="s">
        <v>31</v>
      </c>
      <c r="L34" s="189">
        <v>1074300</v>
      </c>
      <c r="M34" s="190">
        <v>298900</v>
      </c>
      <c r="N34" s="189">
        <v>463400</v>
      </c>
      <c r="O34" s="190">
        <v>0</v>
      </c>
      <c r="P34" s="189">
        <v>0</v>
      </c>
      <c r="Q34" s="212">
        <v>1836600</v>
      </c>
    </row>
    <row r="35" spans="1:17" x14ac:dyDescent="0.2">
      <c r="A35" s="101">
        <v>28</v>
      </c>
      <c r="B35" s="133" t="s">
        <v>32</v>
      </c>
      <c r="C35" s="51">
        <f>HLOOKUP(B35,'Ressourcenausgleich Basis'!$C$8:$CB$151,144,FALSE)</f>
        <v>0</v>
      </c>
      <c r="D35" s="116">
        <f>HLOOKUP(B35,'SL Weite Basis'!$C$8:$CB$74,67,FALSE)</f>
        <v>0</v>
      </c>
      <c r="E35" s="116">
        <f>HLOOKUP(B35,'SL Schule Basis'!$C$8:$CB$65,58,FALSE)</f>
        <v>0</v>
      </c>
      <c r="F35" s="51">
        <f>HLOOKUP(B35,'SL Sozio Basis'!$C$8:$CB$55,48,FALSE)</f>
        <v>0</v>
      </c>
      <c r="G35" s="116">
        <v>0</v>
      </c>
      <c r="H35" s="138">
        <f t="shared" si="0"/>
        <v>0</v>
      </c>
      <c r="J35" s="213">
        <v>28</v>
      </c>
      <c r="K35" s="214" t="s">
        <v>32</v>
      </c>
      <c r="L35" s="189">
        <v>0</v>
      </c>
      <c r="M35" s="190">
        <v>0</v>
      </c>
      <c r="N35" s="189">
        <v>0</v>
      </c>
      <c r="O35" s="190">
        <v>0</v>
      </c>
      <c r="P35" s="189">
        <v>0</v>
      </c>
      <c r="Q35" s="212">
        <v>0</v>
      </c>
    </row>
    <row r="36" spans="1:17" x14ac:dyDescent="0.2">
      <c r="A36" s="101">
        <v>29</v>
      </c>
      <c r="B36" s="133" t="s">
        <v>33</v>
      </c>
      <c r="C36" s="51">
        <f>HLOOKUP(B36,'Ressourcenausgleich Basis'!$C$8:$CB$151,144,FALSE)</f>
        <v>1949100</v>
      </c>
      <c r="D36" s="116">
        <f>HLOOKUP(B36,'SL Weite Basis'!$C$8:$CB$74,67,FALSE)</f>
        <v>467200</v>
      </c>
      <c r="E36" s="116">
        <f>HLOOKUP(B36,'SL Schule Basis'!$C$8:$CB$65,58,FALSE)</f>
        <v>174400</v>
      </c>
      <c r="F36" s="51">
        <f>HLOOKUP(B36,'SL Sozio Basis'!$C$8:$CB$55,48,FALSE)</f>
        <v>0</v>
      </c>
      <c r="G36" s="116">
        <v>0</v>
      </c>
      <c r="H36" s="138">
        <f t="shared" si="0"/>
        <v>2590700</v>
      </c>
      <c r="J36" s="213">
        <v>29</v>
      </c>
      <c r="K36" s="214" t="s">
        <v>33</v>
      </c>
      <c r="L36" s="189">
        <v>1949100</v>
      </c>
      <c r="M36" s="190">
        <v>467200</v>
      </c>
      <c r="N36" s="189">
        <v>174000</v>
      </c>
      <c r="O36" s="190">
        <v>0</v>
      </c>
      <c r="P36" s="189">
        <v>0</v>
      </c>
      <c r="Q36" s="212">
        <v>2590300</v>
      </c>
    </row>
    <row r="37" spans="1:17" x14ac:dyDescent="0.2">
      <c r="A37" s="101">
        <v>30</v>
      </c>
      <c r="B37" s="133" t="s">
        <v>34</v>
      </c>
      <c r="C37" s="51">
        <f>HLOOKUP(B37,'Ressourcenausgleich Basis'!$C$8:$CB$151,144,FALSE)</f>
        <v>3456800</v>
      </c>
      <c r="D37" s="116">
        <f>HLOOKUP(B37,'SL Weite Basis'!$C$8:$CB$74,67,FALSE)</f>
        <v>1073400</v>
      </c>
      <c r="E37" s="116">
        <f>HLOOKUP(B37,'SL Schule Basis'!$C$8:$CB$65,58,FALSE)</f>
        <v>1095200</v>
      </c>
      <c r="F37" s="51">
        <f>HLOOKUP(B37,'SL Sozio Basis'!$C$8:$CB$55,48,FALSE)</f>
        <v>0</v>
      </c>
      <c r="G37" s="116">
        <v>0</v>
      </c>
      <c r="H37" s="138">
        <f t="shared" si="0"/>
        <v>5625400</v>
      </c>
      <c r="J37" s="213">
        <v>30</v>
      </c>
      <c r="K37" s="214" t="s">
        <v>34</v>
      </c>
      <c r="L37" s="189">
        <v>3456800</v>
      </c>
      <c r="M37" s="190">
        <v>1073400</v>
      </c>
      <c r="N37" s="189">
        <v>1092900</v>
      </c>
      <c r="O37" s="190">
        <v>0</v>
      </c>
      <c r="P37" s="189">
        <v>0</v>
      </c>
      <c r="Q37" s="212">
        <v>5623100</v>
      </c>
    </row>
    <row r="38" spans="1:17" x14ac:dyDescent="0.2">
      <c r="A38" s="101">
        <v>31</v>
      </c>
      <c r="B38" s="133" t="s">
        <v>35</v>
      </c>
      <c r="C38" s="51">
        <f>HLOOKUP(B38,'Ressourcenausgleich Basis'!$C$8:$CB$151,144,FALSE)</f>
        <v>0</v>
      </c>
      <c r="D38" s="116">
        <f>HLOOKUP(B38,'SL Weite Basis'!$C$8:$CB$74,67,FALSE)</f>
        <v>0</v>
      </c>
      <c r="E38" s="116">
        <f>HLOOKUP(B38,'SL Schule Basis'!$C$8:$CB$65,58,FALSE)</f>
        <v>0</v>
      </c>
      <c r="F38" s="51">
        <f>HLOOKUP(B38,'SL Sozio Basis'!$C$8:$CB$55,48,FALSE)</f>
        <v>0</v>
      </c>
      <c r="G38" s="116">
        <v>0</v>
      </c>
      <c r="H38" s="138">
        <f t="shared" si="0"/>
        <v>0</v>
      </c>
      <c r="J38" s="213">
        <v>31</v>
      </c>
      <c r="K38" s="214" t="s">
        <v>35</v>
      </c>
      <c r="L38" s="189">
        <v>0</v>
      </c>
      <c r="M38" s="190">
        <v>0</v>
      </c>
      <c r="N38" s="189">
        <v>0</v>
      </c>
      <c r="O38" s="190">
        <v>0</v>
      </c>
      <c r="P38" s="189">
        <v>0</v>
      </c>
      <c r="Q38" s="212">
        <v>0</v>
      </c>
    </row>
    <row r="39" spans="1:17" x14ac:dyDescent="0.2">
      <c r="A39" s="101">
        <v>32</v>
      </c>
      <c r="B39" s="133" t="s">
        <v>36</v>
      </c>
      <c r="C39" s="51">
        <f>HLOOKUP(B39,'Ressourcenausgleich Basis'!$C$8:$CB$151,144,FALSE)</f>
        <v>1333200</v>
      </c>
      <c r="D39" s="116">
        <f>HLOOKUP(B39,'SL Weite Basis'!$C$8:$CB$74,67,FALSE)</f>
        <v>178200</v>
      </c>
      <c r="E39" s="116">
        <f>HLOOKUP(B39,'SL Schule Basis'!$C$8:$CB$65,58,FALSE)</f>
        <v>409000</v>
      </c>
      <c r="F39" s="51">
        <f>HLOOKUP(B39,'SL Sozio Basis'!$C$8:$CB$55,48,FALSE)</f>
        <v>0</v>
      </c>
      <c r="G39" s="116">
        <v>0</v>
      </c>
      <c r="H39" s="138">
        <f t="shared" si="0"/>
        <v>1920400</v>
      </c>
      <c r="J39" s="213">
        <v>32</v>
      </c>
      <c r="K39" s="214" t="s">
        <v>36</v>
      </c>
      <c r="L39" s="189">
        <v>1333200</v>
      </c>
      <c r="M39" s="190">
        <v>178200</v>
      </c>
      <c r="N39" s="189">
        <v>408100</v>
      </c>
      <c r="O39" s="190">
        <v>0</v>
      </c>
      <c r="P39" s="189">
        <v>0</v>
      </c>
      <c r="Q39" s="212">
        <v>1919500</v>
      </c>
    </row>
    <row r="40" spans="1:17" x14ac:dyDescent="0.2">
      <c r="A40" s="101">
        <v>33</v>
      </c>
      <c r="B40" s="133" t="s">
        <v>37</v>
      </c>
      <c r="C40" s="51">
        <f>HLOOKUP(B40,'Ressourcenausgleich Basis'!$C$8:$CB$151,144,FALSE)</f>
        <v>3759700</v>
      </c>
      <c r="D40" s="116">
        <f>HLOOKUP(B40,'SL Weite Basis'!$C$8:$CB$74,67,FALSE)</f>
        <v>384700</v>
      </c>
      <c r="E40" s="116">
        <f>HLOOKUP(B40,'SL Schule Basis'!$C$8:$CB$65,58,FALSE)</f>
        <v>960200</v>
      </c>
      <c r="F40" s="51">
        <f>HLOOKUP(B40,'SL Sozio Basis'!$C$8:$CB$55,48,FALSE)</f>
        <v>0</v>
      </c>
      <c r="G40" s="116">
        <v>0</v>
      </c>
      <c r="H40" s="138">
        <f t="shared" ref="H40:H71" si="1">SUM(C40:G40)</f>
        <v>5104600</v>
      </c>
      <c r="J40" s="213">
        <v>33</v>
      </c>
      <c r="K40" s="214" t="s">
        <v>37</v>
      </c>
      <c r="L40" s="189">
        <v>3759700</v>
      </c>
      <c r="M40" s="190">
        <v>384700</v>
      </c>
      <c r="N40" s="189">
        <v>958200</v>
      </c>
      <c r="O40" s="190">
        <v>0</v>
      </c>
      <c r="P40" s="189">
        <v>0</v>
      </c>
      <c r="Q40" s="212">
        <v>5102600</v>
      </c>
    </row>
    <row r="41" spans="1:17" x14ac:dyDescent="0.2">
      <c r="A41" s="101">
        <v>34</v>
      </c>
      <c r="B41" s="133" t="s">
        <v>38</v>
      </c>
      <c r="C41" s="51">
        <f>HLOOKUP(B41,'Ressourcenausgleich Basis'!$C$8:$CB$151,144,FALSE)</f>
        <v>1614400</v>
      </c>
      <c r="D41" s="116">
        <f>HLOOKUP(B41,'SL Weite Basis'!$C$8:$CB$74,67,FALSE)</f>
        <v>0</v>
      </c>
      <c r="E41" s="116">
        <f>HLOOKUP(B41,'SL Schule Basis'!$C$8:$CB$65,58,FALSE)</f>
        <v>14600</v>
      </c>
      <c r="F41" s="51">
        <f>HLOOKUP(B41,'SL Sozio Basis'!$C$8:$CB$55,48,FALSE)</f>
        <v>0</v>
      </c>
      <c r="G41" s="116">
        <v>0</v>
      </c>
      <c r="H41" s="138">
        <f t="shared" si="1"/>
        <v>1629000</v>
      </c>
      <c r="J41" s="213">
        <v>34</v>
      </c>
      <c r="K41" s="214" t="s">
        <v>38</v>
      </c>
      <c r="L41" s="189">
        <v>1614400</v>
      </c>
      <c r="M41" s="190">
        <v>0</v>
      </c>
      <c r="N41" s="189">
        <v>14600</v>
      </c>
      <c r="O41" s="190">
        <v>0</v>
      </c>
      <c r="P41" s="189">
        <v>0</v>
      </c>
      <c r="Q41" s="212">
        <v>1629000</v>
      </c>
    </row>
    <row r="42" spans="1:17" x14ac:dyDescent="0.2">
      <c r="A42" s="101">
        <v>35</v>
      </c>
      <c r="B42" s="133" t="s">
        <v>39</v>
      </c>
      <c r="C42" s="51">
        <f>HLOOKUP(B42,'Ressourcenausgleich Basis'!$C$8:$CB$151,144,FALSE)</f>
        <v>2965700</v>
      </c>
      <c r="D42" s="116">
        <f>HLOOKUP(B42,'SL Weite Basis'!$C$8:$CB$74,67,FALSE)</f>
        <v>199400</v>
      </c>
      <c r="E42" s="116">
        <f>HLOOKUP(B42,'SL Schule Basis'!$C$8:$CB$65,58,FALSE)</f>
        <v>568300</v>
      </c>
      <c r="F42" s="51">
        <f>HLOOKUP(B42,'SL Sozio Basis'!$C$8:$CB$55,48,FALSE)</f>
        <v>0</v>
      </c>
      <c r="G42" s="116">
        <v>0</v>
      </c>
      <c r="H42" s="138">
        <f t="shared" si="1"/>
        <v>3733400</v>
      </c>
      <c r="J42" s="213">
        <v>35</v>
      </c>
      <c r="K42" s="214" t="s">
        <v>39</v>
      </c>
      <c r="L42" s="189">
        <v>2965700</v>
      </c>
      <c r="M42" s="190">
        <v>199400</v>
      </c>
      <c r="N42" s="189">
        <v>567200</v>
      </c>
      <c r="O42" s="190">
        <v>0</v>
      </c>
      <c r="P42" s="189">
        <v>0</v>
      </c>
      <c r="Q42" s="212">
        <v>3732300</v>
      </c>
    </row>
    <row r="43" spans="1:17" x14ac:dyDescent="0.2">
      <c r="A43" s="101">
        <v>36</v>
      </c>
      <c r="B43" s="133" t="s">
        <v>40</v>
      </c>
      <c r="C43" s="51">
        <f>HLOOKUP(B43,'Ressourcenausgleich Basis'!$C$8:$CB$151,144,FALSE)</f>
        <v>0</v>
      </c>
      <c r="D43" s="116">
        <f>HLOOKUP(B43,'SL Weite Basis'!$C$8:$CB$74,67,FALSE)</f>
        <v>0</v>
      </c>
      <c r="E43" s="116">
        <f>HLOOKUP(B43,'SL Schule Basis'!$C$8:$CB$65,58,FALSE)</f>
        <v>0</v>
      </c>
      <c r="F43" s="51">
        <f>HLOOKUP(B43,'SL Sozio Basis'!$C$8:$CB$55,48,FALSE)</f>
        <v>0</v>
      </c>
      <c r="G43" s="116">
        <v>0</v>
      </c>
      <c r="H43" s="138">
        <f t="shared" si="1"/>
        <v>0</v>
      </c>
      <c r="J43" s="213">
        <v>36</v>
      </c>
      <c r="K43" s="214" t="s">
        <v>40</v>
      </c>
      <c r="L43" s="189">
        <v>0</v>
      </c>
      <c r="M43" s="190">
        <v>0</v>
      </c>
      <c r="N43" s="189">
        <v>0</v>
      </c>
      <c r="O43" s="190">
        <v>0</v>
      </c>
      <c r="P43" s="189">
        <v>0</v>
      </c>
      <c r="Q43" s="212">
        <v>0</v>
      </c>
    </row>
    <row r="44" spans="1:17" x14ac:dyDescent="0.2">
      <c r="A44" s="101">
        <v>37</v>
      </c>
      <c r="B44" s="133" t="s">
        <v>41</v>
      </c>
      <c r="C44" s="51">
        <f>HLOOKUP(B44,'Ressourcenausgleich Basis'!$C$8:$CB$151,144,FALSE)</f>
        <v>1418400</v>
      </c>
      <c r="D44" s="116">
        <f>HLOOKUP(B44,'SL Weite Basis'!$C$8:$CB$74,67,FALSE)</f>
        <v>2370300</v>
      </c>
      <c r="E44" s="116">
        <f>HLOOKUP(B44,'SL Schule Basis'!$C$8:$CB$65,58,FALSE)</f>
        <v>131000</v>
      </c>
      <c r="F44" s="51">
        <f>HLOOKUP(B44,'SL Sozio Basis'!$C$8:$CB$55,48,FALSE)</f>
        <v>24700</v>
      </c>
      <c r="G44" s="116">
        <v>0</v>
      </c>
      <c r="H44" s="138">
        <f t="shared" si="1"/>
        <v>3944400</v>
      </c>
      <c r="J44" s="213">
        <v>37</v>
      </c>
      <c r="K44" s="214" t="s">
        <v>41</v>
      </c>
      <c r="L44" s="189">
        <v>1418400</v>
      </c>
      <c r="M44" s="190">
        <v>2370300</v>
      </c>
      <c r="N44" s="189">
        <v>130800</v>
      </c>
      <c r="O44" s="190">
        <v>24500</v>
      </c>
      <c r="P44" s="189">
        <v>0</v>
      </c>
      <c r="Q44" s="212">
        <v>3944000</v>
      </c>
    </row>
    <row r="45" spans="1:17" x14ac:dyDescent="0.2">
      <c r="A45" s="101">
        <v>38</v>
      </c>
      <c r="B45" s="133" t="s">
        <v>42</v>
      </c>
      <c r="C45" s="51">
        <f>HLOOKUP(B45,'Ressourcenausgleich Basis'!$C$8:$CB$151,144,FALSE)</f>
        <v>5815800</v>
      </c>
      <c r="D45" s="116">
        <f>HLOOKUP(B45,'SL Weite Basis'!$C$8:$CB$74,67,FALSE)</f>
        <v>1317700</v>
      </c>
      <c r="E45" s="116">
        <f>HLOOKUP(B45,'SL Schule Basis'!$C$8:$CB$65,58,FALSE)</f>
        <v>1397200</v>
      </c>
      <c r="F45" s="51">
        <f>HLOOKUP(B45,'SL Sozio Basis'!$C$8:$CB$55,48,FALSE)</f>
        <v>17200</v>
      </c>
      <c r="G45" s="116">
        <v>0</v>
      </c>
      <c r="H45" s="138">
        <f t="shared" si="1"/>
        <v>8547900</v>
      </c>
      <c r="J45" s="213">
        <v>38</v>
      </c>
      <c r="K45" s="214" t="s">
        <v>42</v>
      </c>
      <c r="L45" s="189">
        <v>5815800</v>
      </c>
      <c r="M45" s="190">
        <v>1317700</v>
      </c>
      <c r="N45" s="189">
        <v>1394300</v>
      </c>
      <c r="O45" s="190">
        <v>16900</v>
      </c>
      <c r="P45" s="189">
        <v>0</v>
      </c>
      <c r="Q45" s="212">
        <v>8544700</v>
      </c>
    </row>
    <row r="46" spans="1:17" x14ac:dyDescent="0.2">
      <c r="A46" s="101">
        <v>39</v>
      </c>
      <c r="B46" s="133" t="s">
        <v>43</v>
      </c>
      <c r="C46" s="51">
        <f>HLOOKUP(B46,'Ressourcenausgleich Basis'!$C$8:$CB$151,144,FALSE)</f>
        <v>1930000</v>
      </c>
      <c r="D46" s="116">
        <f>HLOOKUP(B46,'SL Weite Basis'!$C$8:$CB$74,67,FALSE)</f>
        <v>1125400</v>
      </c>
      <c r="E46" s="116">
        <f>HLOOKUP(B46,'SL Schule Basis'!$C$8:$CB$65,58,FALSE)</f>
        <v>78000</v>
      </c>
      <c r="F46" s="51">
        <f>HLOOKUP(B46,'SL Sozio Basis'!$C$8:$CB$55,48,FALSE)</f>
        <v>0</v>
      </c>
      <c r="G46" s="116">
        <v>0</v>
      </c>
      <c r="H46" s="138">
        <f t="shared" si="1"/>
        <v>3133400</v>
      </c>
      <c r="J46" s="213">
        <v>39</v>
      </c>
      <c r="K46" s="214" t="s">
        <v>43</v>
      </c>
      <c r="L46" s="189">
        <v>1930000</v>
      </c>
      <c r="M46" s="190">
        <v>1125400</v>
      </c>
      <c r="N46" s="189">
        <v>77900</v>
      </c>
      <c r="O46" s="190">
        <v>0</v>
      </c>
      <c r="P46" s="189">
        <v>0</v>
      </c>
      <c r="Q46" s="212">
        <v>3133300</v>
      </c>
    </row>
    <row r="47" spans="1:17" x14ac:dyDescent="0.2">
      <c r="A47" s="101">
        <v>40</v>
      </c>
      <c r="B47" s="133" t="s">
        <v>44</v>
      </c>
      <c r="C47" s="51">
        <f>HLOOKUP(B47,'Ressourcenausgleich Basis'!$C$8:$CB$151,144,FALSE)</f>
        <v>2526000</v>
      </c>
      <c r="D47" s="116">
        <f>HLOOKUP(B47,'SL Weite Basis'!$C$8:$CB$74,67,FALSE)</f>
        <v>0</v>
      </c>
      <c r="E47" s="116">
        <f>HLOOKUP(B47,'SL Schule Basis'!$C$8:$CB$65,58,FALSE)</f>
        <v>495300</v>
      </c>
      <c r="F47" s="51">
        <f>HLOOKUP(B47,'SL Sozio Basis'!$C$8:$CB$55,48,FALSE)</f>
        <v>0</v>
      </c>
      <c r="G47" s="116">
        <v>0</v>
      </c>
      <c r="H47" s="138">
        <f t="shared" si="1"/>
        <v>3021300</v>
      </c>
      <c r="J47" s="213">
        <v>40</v>
      </c>
      <c r="K47" s="214" t="s">
        <v>44</v>
      </c>
      <c r="L47" s="189">
        <v>2526000</v>
      </c>
      <c r="M47" s="190">
        <v>0</v>
      </c>
      <c r="N47" s="189">
        <v>494200</v>
      </c>
      <c r="O47" s="190">
        <v>0</v>
      </c>
      <c r="P47" s="189">
        <v>0</v>
      </c>
      <c r="Q47" s="212">
        <v>3020200</v>
      </c>
    </row>
    <row r="48" spans="1:17" x14ac:dyDescent="0.2">
      <c r="A48" s="101">
        <v>41</v>
      </c>
      <c r="B48" s="133" t="s">
        <v>45</v>
      </c>
      <c r="C48" s="51">
        <f>HLOOKUP(B48,'Ressourcenausgleich Basis'!$C$8:$CB$151,144,FALSE)</f>
        <v>711500</v>
      </c>
      <c r="D48" s="116">
        <f>HLOOKUP(B48,'SL Weite Basis'!$C$8:$CB$74,67,FALSE)</f>
        <v>479400</v>
      </c>
      <c r="E48" s="116">
        <f>HLOOKUP(B48,'SL Schule Basis'!$C$8:$CB$65,58,FALSE)</f>
        <v>0</v>
      </c>
      <c r="F48" s="51">
        <f>HLOOKUP(B48,'SL Sozio Basis'!$C$8:$CB$55,48,FALSE)</f>
        <v>221300</v>
      </c>
      <c r="G48" s="116">
        <v>0</v>
      </c>
      <c r="H48" s="138">
        <f t="shared" si="1"/>
        <v>1412200</v>
      </c>
      <c r="J48" s="213">
        <v>41</v>
      </c>
      <c r="K48" s="214" t="s">
        <v>45</v>
      </c>
      <c r="L48" s="189">
        <v>711500</v>
      </c>
      <c r="M48" s="190">
        <v>479400</v>
      </c>
      <c r="N48" s="189">
        <v>0</v>
      </c>
      <c r="O48" s="190">
        <v>221200</v>
      </c>
      <c r="P48" s="189">
        <v>0</v>
      </c>
      <c r="Q48" s="212">
        <v>1412100</v>
      </c>
    </row>
    <row r="49" spans="1:17" x14ac:dyDescent="0.2">
      <c r="A49" s="101">
        <v>42</v>
      </c>
      <c r="B49" s="133" t="s">
        <v>46</v>
      </c>
      <c r="C49" s="51">
        <f>HLOOKUP(B49,'Ressourcenausgleich Basis'!$C$8:$CB$151,144,FALSE)</f>
        <v>0</v>
      </c>
      <c r="D49" s="116">
        <f>HLOOKUP(B49,'SL Weite Basis'!$C$8:$CB$74,67,FALSE)</f>
        <v>755400</v>
      </c>
      <c r="E49" s="116">
        <f>HLOOKUP(B49,'SL Schule Basis'!$C$8:$CB$65,58,FALSE)</f>
        <v>0</v>
      </c>
      <c r="F49" s="51">
        <f>HLOOKUP(B49,'SL Sozio Basis'!$C$8:$CB$55,48,FALSE)</f>
        <v>0</v>
      </c>
      <c r="G49" s="116">
        <v>0</v>
      </c>
      <c r="H49" s="138">
        <f t="shared" si="1"/>
        <v>755400</v>
      </c>
      <c r="J49" s="213">
        <v>42</v>
      </c>
      <c r="K49" s="214" t="s">
        <v>46</v>
      </c>
      <c r="L49" s="189">
        <v>0</v>
      </c>
      <c r="M49" s="190">
        <v>755400</v>
      </c>
      <c r="N49" s="189">
        <v>0</v>
      </c>
      <c r="O49" s="190">
        <v>0</v>
      </c>
      <c r="P49" s="189">
        <v>0</v>
      </c>
      <c r="Q49" s="212">
        <v>755400</v>
      </c>
    </row>
    <row r="50" spans="1:17" x14ac:dyDescent="0.2">
      <c r="A50" s="101">
        <v>43</v>
      </c>
      <c r="B50" s="133" t="s">
        <v>47</v>
      </c>
      <c r="C50" s="51">
        <f>HLOOKUP(B50,'Ressourcenausgleich Basis'!$C$8:$CB$151,144,FALSE)</f>
        <v>0</v>
      </c>
      <c r="D50" s="116">
        <f>HLOOKUP(B50,'SL Weite Basis'!$C$8:$CB$74,67,FALSE)</f>
        <v>0</v>
      </c>
      <c r="E50" s="116">
        <f>HLOOKUP(B50,'SL Schule Basis'!$C$8:$CB$65,58,FALSE)</f>
        <v>0</v>
      </c>
      <c r="F50" s="51">
        <f>HLOOKUP(B50,'SL Sozio Basis'!$C$8:$CB$55,48,FALSE)</f>
        <v>0</v>
      </c>
      <c r="G50" s="116">
        <v>0</v>
      </c>
      <c r="H50" s="138">
        <f t="shared" si="1"/>
        <v>0</v>
      </c>
      <c r="J50" s="213">
        <v>43</v>
      </c>
      <c r="K50" s="214" t="s">
        <v>47</v>
      </c>
      <c r="L50" s="189">
        <v>0</v>
      </c>
      <c r="M50" s="190">
        <v>0</v>
      </c>
      <c r="N50" s="189">
        <v>0</v>
      </c>
      <c r="O50" s="190">
        <v>0</v>
      </c>
      <c r="P50" s="189">
        <v>0</v>
      </c>
      <c r="Q50" s="212">
        <v>0</v>
      </c>
    </row>
    <row r="51" spans="1:17" x14ac:dyDescent="0.2">
      <c r="A51" s="101">
        <v>44</v>
      </c>
      <c r="B51" s="133" t="s">
        <v>48</v>
      </c>
      <c r="C51" s="51">
        <f>HLOOKUP(B51,'Ressourcenausgleich Basis'!$C$8:$CB$151,144,FALSE)</f>
        <v>2579800</v>
      </c>
      <c r="D51" s="116">
        <f>HLOOKUP(B51,'SL Weite Basis'!$C$8:$CB$74,67,FALSE)</f>
        <v>357400</v>
      </c>
      <c r="E51" s="116">
        <f>HLOOKUP(B51,'SL Schule Basis'!$C$8:$CB$65,58,FALSE)</f>
        <v>606500</v>
      </c>
      <c r="F51" s="51">
        <f>HLOOKUP(B51,'SL Sozio Basis'!$C$8:$CB$55,48,FALSE)</f>
        <v>0</v>
      </c>
      <c r="G51" s="116">
        <v>0</v>
      </c>
      <c r="H51" s="138">
        <f t="shared" si="1"/>
        <v>3543700</v>
      </c>
      <c r="J51" s="213">
        <v>44</v>
      </c>
      <c r="K51" s="214" t="s">
        <v>48</v>
      </c>
      <c r="L51" s="189">
        <v>2579800</v>
      </c>
      <c r="M51" s="190">
        <v>357400</v>
      </c>
      <c r="N51" s="189">
        <v>605300</v>
      </c>
      <c r="O51" s="190">
        <v>0</v>
      </c>
      <c r="P51" s="189">
        <v>0</v>
      </c>
      <c r="Q51" s="212">
        <v>3542500</v>
      </c>
    </row>
    <row r="52" spans="1:17" x14ac:dyDescent="0.2">
      <c r="A52" s="101">
        <v>45</v>
      </c>
      <c r="B52" s="133" t="s">
        <v>49</v>
      </c>
      <c r="C52" s="51">
        <f>HLOOKUP(B52,'Ressourcenausgleich Basis'!$C$8:$CB$151,144,FALSE)</f>
        <v>1816800</v>
      </c>
      <c r="D52" s="116">
        <f>HLOOKUP(B52,'SL Weite Basis'!$C$8:$CB$74,67,FALSE)</f>
        <v>206900</v>
      </c>
      <c r="E52" s="116">
        <f>HLOOKUP(B52,'SL Schule Basis'!$C$8:$CB$65,58,FALSE)</f>
        <v>1012200</v>
      </c>
      <c r="F52" s="51">
        <f>HLOOKUP(B52,'SL Sozio Basis'!$C$8:$CB$55,48,FALSE)</f>
        <v>0</v>
      </c>
      <c r="G52" s="116">
        <v>0</v>
      </c>
      <c r="H52" s="138">
        <f t="shared" si="1"/>
        <v>3035900</v>
      </c>
      <c r="J52" s="213">
        <v>45</v>
      </c>
      <c r="K52" s="214" t="s">
        <v>49</v>
      </c>
      <c r="L52" s="189">
        <v>1816800</v>
      </c>
      <c r="M52" s="190">
        <v>206900</v>
      </c>
      <c r="N52" s="189">
        <v>1010200</v>
      </c>
      <c r="O52" s="190">
        <v>0</v>
      </c>
      <c r="P52" s="189">
        <v>0</v>
      </c>
      <c r="Q52" s="212">
        <v>3033900</v>
      </c>
    </row>
    <row r="53" spans="1:17" x14ac:dyDescent="0.2">
      <c r="A53" s="101">
        <v>46</v>
      </c>
      <c r="B53" s="133" t="s">
        <v>50</v>
      </c>
      <c r="C53" s="51">
        <f>HLOOKUP(B53,'Ressourcenausgleich Basis'!$C$8:$CB$151,144,FALSE)</f>
        <v>3185900</v>
      </c>
      <c r="D53" s="116">
        <f>HLOOKUP(B53,'SL Weite Basis'!$C$8:$CB$74,67,FALSE)</f>
        <v>0</v>
      </c>
      <c r="E53" s="116">
        <f>HLOOKUP(B53,'SL Schule Basis'!$C$8:$CB$65,58,FALSE)</f>
        <v>534100</v>
      </c>
      <c r="F53" s="51">
        <f>HLOOKUP(B53,'SL Sozio Basis'!$C$8:$CB$55,48,FALSE)</f>
        <v>0</v>
      </c>
      <c r="G53" s="116">
        <v>0</v>
      </c>
      <c r="H53" s="138">
        <f t="shared" si="1"/>
        <v>3720000</v>
      </c>
      <c r="J53" s="213">
        <v>46</v>
      </c>
      <c r="K53" s="214" t="s">
        <v>50</v>
      </c>
      <c r="L53" s="189">
        <v>3185900</v>
      </c>
      <c r="M53" s="190">
        <v>0</v>
      </c>
      <c r="N53" s="189">
        <v>533000</v>
      </c>
      <c r="O53" s="190">
        <v>0</v>
      </c>
      <c r="P53" s="189">
        <v>0</v>
      </c>
      <c r="Q53" s="212">
        <v>3718900</v>
      </c>
    </row>
    <row r="54" spans="1:17" x14ac:dyDescent="0.2">
      <c r="A54" s="101">
        <v>48</v>
      </c>
      <c r="B54" s="133" t="s">
        <v>51</v>
      </c>
      <c r="C54" s="51">
        <f>HLOOKUP(B54,'Ressourcenausgleich Basis'!$C$8:$CB$151,144,FALSE)</f>
        <v>0</v>
      </c>
      <c r="D54" s="116">
        <f>HLOOKUP(B54,'SL Weite Basis'!$C$8:$CB$74,67,FALSE)</f>
        <v>151800</v>
      </c>
      <c r="E54" s="116">
        <f>HLOOKUP(B54,'SL Schule Basis'!$C$8:$CB$65,58,FALSE)</f>
        <v>0</v>
      </c>
      <c r="F54" s="51">
        <f>HLOOKUP(B54,'SL Sozio Basis'!$C$8:$CB$55,48,FALSE)</f>
        <v>0</v>
      </c>
      <c r="G54" s="116">
        <v>0</v>
      </c>
      <c r="H54" s="138">
        <f t="shared" si="1"/>
        <v>151800</v>
      </c>
      <c r="J54" s="213">
        <v>48</v>
      </c>
      <c r="K54" s="214" t="s">
        <v>51</v>
      </c>
      <c r="L54" s="189">
        <v>0</v>
      </c>
      <c r="M54" s="190">
        <v>151800</v>
      </c>
      <c r="N54" s="189">
        <v>0</v>
      </c>
      <c r="O54" s="190">
        <v>0</v>
      </c>
      <c r="P54" s="189">
        <v>0</v>
      </c>
      <c r="Q54" s="212">
        <v>151800</v>
      </c>
    </row>
    <row r="55" spans="1:17" x14ac:dyDescent="0.2">
      <c r="A55" s="101">
        <v>50</v>
      </c>
      <c r="B55" s="133" t="s">
        <v>52</v>
      </c>
      <c r="C55" s="51">
        <f>HLOOKUP(B55,'Ressourcenausgleich Basis'!$C$8:$CB$151,144,FALSE)</f>
        <v>1939500</v>
      </c>
      <c r="D55" s="116">
        <f>HLOOKUP(B55,'SL Weite Basis'!$C$8:$CB$74,67,FALSE)</f>
        <v>0</v>
      </c>
      <c r="E55" s="116">
        <f>HLOOKUP(B55,'SL Schule Basis'!$C$8:$CB$65,58,FALSE)</f>
        <v>877000</v>
      </c>
      <c r="F55" s="51">
        <f>HLOOKUP(B55,'SL Sozio Basis'!$C$8:$CB$55,48,FALSE)</f>
        <v>25300</v>
      </c>
      <c r="G55" s="116">
        <v>0</v>
      </c>
      <c r="H55" s="138">
        <f t="shared" si="1"/>
        <v>2841800</v>
      </c>
      <c r="J55" s="213">
        <v>50</v>
      </c>
      <c r="K55" s="214" t="s">
        <v>52</v>
      </c>
      <c r="L55" s="189">
        <v>1939500</v>
      </c>
      <c r="M55" s="190">
        <v>0</v>
      </c>
      <c r="N55" s="189">
        <v>875300</v>
      </c>
      <c r="O55" s="190">
        <v>24500</v>
      </c>
      <c r="P55" s="189">
        <v>0</v>
      </c>
      <c r="Q55" s="212">
        <v>2839300</v>
      </c>
    </row>
    <row r="56" spans="1:17" x14ac:dyDescent="0.2">
      <c r="A56" s="101">
        <v>51</v>
      </c>
      <c r="B56" s="133" t="s">
        <v>53</v>
      </c>
      <c r="C56" s="51">
        <f>HLOOKUP(B56,'Ressourcenausgleich Basis'!$C$8:$CB$151,144,FALSE)</f>
        <v>0</v>
      </c>
      <c r="D56" s="116">
        <f>HLOOKUP(B56,'SL Weite Basis'!$C$8:$CB$74,67,FALSE)</f>
        <v>0</v>
      </c>
      <c r="E56" s="116">
        <f>HLOOKUP(B56,'SL Schule Basis'!$C$8:$CB$65,58,FALSE)</f>
        <v>21400</v>
      </c>
      <c r="F56" s="51">
        <f>HLOOKUP(B56,'SL Sozio Basis'!$C$8:$CB$55,48,FALSE)</f>
        <v>0</v>
      </c>
      <c r="G56" s="116">
        <v>0</v>
      </c>
      <c r="H56" s="138">
        <f t="shared" si="1"/>
        <v>21400</v>
      </c>
      <c r="J56" s="213">
        <v>51</v>
      </c>
      <c r="K56" s="214" t="s">
        <v>53</v>
      </c>
      <c r="L56" s="189">
        <v>0</v>
      </c>
      <c r="M56" s="190">
        <v>0</v>
      </c>
      <c r="N56" s="189">
        <v>21400</v>
      </c>
      <c r="O56" s="190">
        <v>0</v>
      </c>
      <c r="P56" s="189">
        <v>0</v>
      </c>
      <c r="Q56" s="212">
        <v>21400</v>
      </c>
    </row>
    <row r="57" spans="1:17" x14ac:dyDescent="0.2">
      <c r="A57" s="101">
        <v>52</v>
      </c>
      <c r="B57" s="133" t="s">
        <v>54</v>
      </c>
      <c r="C57" s="51">
        <f>HLOOKUP(B57,'Ressourcenausgleich Basis'!$C$8:$CB$151,144,FALSE)</f>
        <v>0</v>
      </c>
      <c r="D57" s="116">
        <f>HLOOKUP(B57,'SL Weite Basis'!$C$8:$CB$74,67,FALSE)</f>
        <v>0</v>
      </c>
      <c r="E57" s="116">
        <f>HLOOKUP(B57,'SL Schule Basis'!$C$8:$CB$65,58,FALSE)</f>
        <v>0</v>
      </c>
      <c r="F57" s="51">
        <f>HLOOKUP(B57,'SL Sozio Basis'!$C$8:$CB$55,48,FALSE)</f>
        <v>300200</v>
      </c>
      <c r="G57" s="116">
        <v>0</v>
      </c>
      <c r="H57" s="138">
        <f t="shared" si="1"/>
        <v>300200</v>
      </c>
      <c r="J57" s="213">
        <v>52</v>
      </c>
      <c r="K57" s="214" t="s">
        <v>54</v>
      </c>
      <c r="L57" s="189">
        <v>0</v>
      </c>
      <c r="M57" s="190">
        <v>0</v>
      </c>
      <c r="N57" s="189">
        <v>0</v>
      </c>
      <c r="O57" s="190">
        <v>299000</v>
      </c>
      <c r="P57" s="189">
        <v>0</v>
      </c>
      <c r="Q57" s="212">
        <v>299000</v>
      </c>
    </row>
    <row r="58" spans="1:17" x14ac:dyDescent="0.2">
      <c r="A58" s="101">
        <v>54</v>
      </c>
      <c r="B58" s="133" t="s">
        <v>55</v>
      </c>
      <c r="C58" s="51">
        <f>HLOOKUP(B58,'Ressourcenausgleich Basis'!$C$8:$CB$151,144,FALSE)</f>
        <v>2564700</v>
      </c>
      <c r="D58" s="116">
        <f>HLOOKUP(B58,'SL Weite Basis'!$C$8:$CB$74,67,FALSE)</f>
        <v>1499900</v>
      </c>
      <c r="E58" s="116">
        <f>HLOOKUP(B58,'SL Schule Basis'!$C$8:$CB$65,58,FALSE)</f>
        <v>1089000</v>
      </c>
      <c r="F58" s="51">
        <f>HLOOKUP(B58,'SL Sozio Basis'!$C$8:$CB$55,48,FALSE)</f>
        <v>181100</v>
      </c>
      <c r="G58" s="116">
        <v>0</v>
      </c>
      <c r="H58" s="138">
        <f t="shared" si="1"/>
        <v>5334700</v>
      </c>
      <c r="J58" s="213">
        <v>54</v>
      </c>
      <c r="K58" s="214" t="s">
        <v>55</v>
      </c>
      <c r="L58" s="189">
        <v>2564700</v>
      </c>
      <c r="M58" s="190">
        <v>1499900</v>
      </c>
      <c r="N58" s="189">
        <v>1086700</v>
      </c>
      <c r="O58" s="190">
        <v>180800</v>
      </c>
      <c r="P58" s="189">
        <v>0</v>
      </c>
      <c r="Q58" s="212">
        <v>5332100</v>
      </c>
    </row>
    <row r="59" spans="1:17" x14ac:dyDescent="0.2">
      <c r="A59" s="101">
        <v>57</v>
      </c>
      <c r="B59" s="133" t="s">
        <v>56</v>
      </c>
      <c r="C59" s="51">
        <f>HLOOKUP(B59,'Ressourcenausgleich Basis'!$C$8:$CB$151,144,FALSE)</f>
        <v>463800</v>
      </c>
      <c r="D59" s="116">
        <f>HLOOKUP(B59,'SL Weite Basis'!$C$8:$CB$74,67,FALSE)</f>
        <v>2252700</v>
      </c>
      <c r="E59" s="116">
        <f>HLOOKUP(B59,'SL Schule Basis'!$C$8:$CB$65,58,FALSE)</f>
        <v>367900</v>
      </c>
      <c r="F59" s="51">
        <f>HLOOKUP(B59,'SL Sozio Basis'!$C$8:$CB$55,48,FALSE)</f>
        <v>0</v>
      </c>
      <c r="G59" s="116">
        <v>0</v>
      </c>
      <c r="H59" s="138">
        <f t="shared" si="1"/>
        <v>3084400</v>
      </c>
      <c r="J59" s="213">
        <v>57</v>
      </c>
      <c r="K59" s="214" t="s">
        <v>56</v>
      </c>
      <c r="L59" s="189">
        <v>463800</v>
      </c>
      <c r="M59" s="190">
        <v>2252700</v>
      </c>
      <c r="N59" s="189">
        <v>367100</v>
      </c>
      <c r="O59" s="190">
        <v>0</v>
      </c>
      <c r="P59" s="189">
        <v>0</v>
      </c>
      <c r="Q59" s="212">
        <v>3083600</v>
      </c>
    </row>
    <row r="60" spans="1:17" x14ac:dyDescent="0.2">
      <c r="A60" s="101">
        <v>60</v>
      </c>
      <c r="B60" s="133" t="s">
        <v>57</v>
      </c>
      <c r="C60" s="51">
        <f>HLOOKUP(B60,'Ressourcenausgleich Basis'!$C$8:$CB$151,144,FALSE)</f>
        <v>3158000</v>
      </c>
      <c r="D60" s="116">
        <f>HLOOKUP(B60,'SL Weite Basis'!$C$8:$CB$74,67,FALSE)</f>
        <v>2419600</v>
      </c>
      <c r="E60" s="116">
        <f>HLOOKUP(B60,'SL Schule Basis'!$C$8:$CB$65,58,FALSE)</f>
        <v>0</v>
      </c>
      <c r="F60" s="51">
        <f>HLOOKUP(B60,'SL Sozio Basis'!$C$8:$CB$55,48,FALSE)</f>
        <v>0</v>
      </c>
      <c r="G60" s="116">
        <v>0</v>
      </c>
      <c r="H60" s="138">
        <f t="shared" si="1"/>
        <v>5577600</v>
      </c>
      <c r="J60" s="213">
        <v>60</v>
      </c>
      <c r="K60" s="214" t="s">
        <v>57</v>
      </c>
      <c r="L60" s="189">
        <v>3158000</v>
      </c>
      <c r="M60" s="190">
        <v>2419600</v>
      </c>
      <c r="N60" s="189">
        <v>0</v>
      </c>
      <c r="O60" s="190">
        <v>0</v>
      </c>
      <c r="P60" s="189">
        <v>0</v>
      </c>
      <c r="Q60" s="212">
        <v>5577600</v>
      </c>
    </row>
    <row r="61" spans="1:17" x14ac:dyDescent="0.2">
      <c r="A61" s="101">
        <v>62</v>
      </c>
      <c r="B61" s="133" t="s">
        <v>58</v>
      </c>
      <c r="C61" s="51">
        <f>HLOOKUP(B61,'Ressourcenausgleich Basis'!$C$8:$CB$151,144,FALSE)</f>
        <v>3929500</v>
      </c>
      <c r="D61" s="116">
        <f>HLOOKUP(B61,'SL Weite Basis'!$C$8:$CB$74,67,FALSE)</f>
        <v>1399800</v>
      </c>
      <c r="E61" s="116">
        <f>HLOOKUP(B61,'SL Schule Basis'!$C$8:$CB$65,58,FALSE)</f>
        <v>414600</v>
      </c>
      <c r="F61" s="51">
        <f>HLOOKUP(B61,'SL Sozio Basis'!$C$8:$CB$55,48,FALSE)</f>
        <v>360000</v>
      </c>
      <c r="G61" s="116">
        <v>0</v>
      </c>
      <c r="H61" s="138">
        <f t="shared" si="1"/>
        <v>6103900</v>
      </c>
      <c r="J61" s="213">
        <v>62</v>
      </c>
      <c r="K61" s="214" t="s">
        <v>58</v>
      </c>
      <c r="L61" s="189">
        <v>3929500</v>
      </c>
      <c r="M61" s="190">
        <v>1399800</v>
      </c>
      <c r="N61" s="189">
        <v>413800</v>
      </c>
      <c r="O61" s="190">
        <v>359400</v>
      </c>
      <c r="P61" s="189">
        <v>0</v>
      </c>
      <c r="Q61" s="212">
        <v>6102500</v>
      </c>
    </row>
    <row r="62" spans="1:17" x14ac:dyDescent="0.2">
      <c r="A62" s="101">
        <v>63</v>
      </c>
      <c r="B62" s="133" t="s">
        <v>59</v>
      </c>
      <c r="C62" s="51">
        <f>HLOOKUP(B62,'Ressourcenausgleich Basis'!$C$8:$CB$151,144,FALSE)</f>
        <v>6866300</v>
      </c>
      <c r="D62" s="116">
        <f>HLOOKUP(B62,'SL Weite Basis'!$C$8:$CB$74,67,FALSE)</f>
        <v>1125800</v>
      </c>
      <c r="E62" s="116">
        <f>HLOOKUP(B62,'SL Schule Basis'!$C$8:$CB$65,58,FALSE)</f>
        <v>0</v>
      </c>
      <c r="F62" s="51">
        <f>HLOOKUP(B62,'SL Sozio Basis'!$C$8:$CB$55,48,FALSE)</f>
        <v>661700</v>
      </c>
      <c r="G62" s="116">
        <v>0</v>
      </c>
      <c r="H62" s="138">
        <f t="shared" si="1"/>
        <v>8653800</v>
      </c>
      <c r="J62" s="213">
        <v>63</v>
      </c>
      <c r="K62" s="214" t="s">
        <v>59</v>
      </c>
      <c r="L62" s="189">
        <v>6866300</v>
      </c>
      <c r="M62" s="190">
        <v>1125800</v>
      </c>
      <c r="N62" s="189">
        <v>0</v>
      </c>
      <c r="O62" s="190">
        <v>660700</v>
      </c>
      <c r="P62" s="189">
        <v>0</v>
      </c>
      <c r="Q62" s="212">
        <v>8652800</v>
      </c>
    </row>
    <row r="63" spans="1:17" x14ac:dyDescent="0.2">
      <c r="A63" s="101">
        <v>64</v>
      </c>
      <c r="B63" s="133" t="s">
        <v>60</v>
      </c>
      <c r="C63" s="51">
        <f>HLOOKUP(B63,'Ressourcenausgleich Basis'!$C$8:$CB$151,144,FALSE)</f>
        <v>1185800</v>
      </c>
      <c r="D63" s="116">
        <f>HLOOKUP(B63,'SL Weite Basis'!$C$8:$CB$74,67,FALSE)</f>
        <v>0</v>
      </c>
      <c r="E63" s="116">
        <f>HLOOKUP(B63,'SL Schule Basis'!$C$8:$CB$65,58,FALSE)</f>
        <v>0</v>
      </c>
      <c r="F63" s="51">
        <f>HLOOKUP(B63,'SL Sozio Basis'!$C$8:$CB$55,48,FALSE)</f>
        <v>187600</v>
      </c>
      <c r="G63" s="116">
        <v>0</v>
      </c>
      <c r="H63" s="138">
        <f t="shared" si="1"/>
        <v>1373400</v>
      </c>
      <c r="J63" s="213">
        <v>64</v>
      </c>
      <c r="K63" s="214" t="s">
        <v>60</v>
      </c>
      <c r="L63" s="189">
        <v>1185800</v>
      </c>
      <c r="M63" s="190">
        <v>0</v>
      </c>
      <c r="N63" s="189">
        <v>0</v>
      </c>
      <c r="O63" s="190">
        <v>187500</v>
      </c>
      <c r="P63" s="189">
        <v>0</v>
      </c>
      <c r="Q63" s="212">
        <v>1373300</v>
      </c>
    </row>
    <row r="64" spans="1:17" x14ac:dyDescent="0.2">
      <c r="A64" s="101">
        <v>65</v>
      </c>
      <c r="B64" s="133" t="s">
        <v>61</v>
      </c>
      <c r="C64" s="51">
        <f>HLOOKUP(B64,'Ressourcenausgleich Basis'!$C$8:$CB$151,144,FALSE)</f>
        <v>1307100</v>
      </c>
      <c r="D64" s="116">
        <f>HLOOKUP(B64,'SL Weite Basis'!$C$8:$CB$74,67,FALSE)</f>
        <v>770500</v>
      </c>
      <c r="E64" s="116">
        <f>HLOOKUP(B64,'SL Schule Basis'!$C$8:$CB$65,58,FALSE)</f>
        <v>365300</v>
      </c>
      <c r="F64" s="51">
        <f>HLOOKUP(B64,'SL Sozio Basis'!$C$8:$CB$55,48,FALSE)</f>
        <v>0</v>
      </c>
      <c r="G64" s="116">
        <v>0</v>
      </c>
      <c r="H64" s="138">
        <f t="shared" si="1"/>
        <v>2442900</v>
      </c>
      <c r="J64" s="213">
        <v>65</v>
      </c>
      <c r="K64" s="214" t="s">
        <v>61</v>
      </c>
      <c r="L64" s="189">
        <v>1307100</v>
      </c>
      <c r="M64" s="190">
        <v>770500</v>
      </c>
      <c r="N64" s="189">
        <v>364600</v>
      </c>
      <c r="O64" s="190">
        <v>0</v>
      </c>
      <c r="P64" s="189">
        <v>0</v>
      </c>
      <c r="Q64" s="212">
        <v>2442200</v>
      </c>
    </row>
    <row r="65" spans="1:17" x14ac:dyDescent="0.2">
      <c r="A65" s="101">
        <v>66</v>
      </c>
      <c r="B65" s="133" t="s">
        <v>62</v>
      </c>
      <c r="C65" s="51">
        <f>HLOOKUP(B65,'Ressourcenausgleich Basis'!$C$8:$CB$151,144,FALSE)</f>
        <v>5201900</v>
      </c>
      <c r="D65" s="116">
        <f>HLOOKUP(B65,'SL Weite Basis'!$C$8:$CB$74,67,FALSE)</f>
        <v>2744300</v>
      </c>
      <c r="E65" s="116">
        <f>HLOOKUP(B65,'SL Schule Basis'!$C$8:$CB$65,58,FALSE)</f>
        <v>356400</v>
      </c>
      <c r="F65" s="51">
        <f>HLOOKUP(B65,'SL Sozio Basis'!$C$8:$CB$55,48,FALSE)</f>
        <v>322900</v>
      </c>
      <c r="G65" s="116">
        <v>0</v>
      </c>
      <c r="H65" s="138">
        <f t="shared" si="1"/>
        <v>8625500</v>
      </c>
      <c r="J65" s="213">
        <v>66</v>
      </c>
      <c r="K65" s="214" t="s">
        <v>62</v>
      </c>
      <c r="L65" s="189">
        <v>5201900</v>
      </c>
      <c r="M65" s="190">
        <v>2744300</v>
      </c>
      <c r="N65" s="189">
        <v>355700</v>
      </c>
      <c r="O65" s="190">
        <v>322400</v>
      </c>
      <c r="P65" s="189">
        <v>0</v>
      </c>
      <c r="Q65" s="212">
        <v>8624300</v>
      </c>
    </row>
    <row r="66" spans="1:17" x14ac:dyDescent="0.2">
      <c r="A66" s="101">
        <v>67</v>
      </c>
      <c r="B66" s="133" t="s">
        <v>63</v>
      </c>
      <c r="C66" s="51">
        <f>HLOOKUP(B66,'Ressourcenausgleich Basis'!$C$8:$CB$151,144,FALSE)</f>
        <v>1114000</v>
      </c>
      <c r="D66" s="116">
        <f>HLOOKUP(B66,'SL Weite Basis'!$C$8:$CB$74,67,FALSE)</f>
        <v>1377900</v>
      </c>
      <c r="E66" s="116">
        <f>HLOOKUP(B66,'SL Schule Basis'!$C$8:$CB$65,58,FALSE)</f>
        <v>603500</v>
      </c>
      <c r="F66" s="51">
        <f>HLOOKUP(B66,'SL Sozio Basis'!$C$8:$CB$55,48,FALSE)</f>
        <v>0</v>
      </c>
      <c r="G66" s="116">
        <v>0</v>
      </c>
      <c r="H66" s="138">
        <f t="shared" si="1"/>
        <v>3095400</v>
      </c>
      <c r="J66" s="213">
        <v>67</v>
      </c>
      <c r="K66" s="214" t="s">
        <v>63</v>
      </c>
      <c r="L66" s="189">
        <v>1114000</v>
      </c>
      <c r="M66" s="190">
        <v>1377900</v>
      </c>
      <c r="N66" s="189">
        <v>602200</v>
      </c>
      <c r="O66" s="190">
        <v>0</v>
      </c>
      <c r="P66" s="189">
        <v>0</v>
      </c>
      <c r="Q66" s="212">
        <v>3094100</v>
      </c>
    </row>
    <row r="67" spans="1:17" x14ac:dyDescent="0.2">
      <c r="A67" s="101">
        <v>70</v>
      </c>
      <c r="B67" s="133" t="s">
        <v>64</v>
      </c>
      <c r="C67" s="51">
        <f>HLOOKUP(B67,'Ressourcenausgleich Basis'!$C$8:$CB$151,144,FALSE)</f>
        <v>3643200</v>
      </c>
      <c r="D67" s="116">
        <f>HLOOKUP(B67,'SL Weite Basis'!$C$8:$CB$74,67,FALSE)</f>
        <v>868100</v>
      </c>
      <c r="E67" s="116">
        <f>HLOOKUP(B67,'SL Schule Basis'!$C$8:$CB$65,58,FALSE)</f>
        <v>768400</v>
      </c>
      <c r="F67" s="51">
        <f>HLOOKUP(B67,'SL Sozio Basis'!$C$8:$CB$55,48,FALSE)</f>
        <v>0</v>
      </c>
      <c r="G67" s="116">
        <v>0</v>
      </c>
      <c r="H67" s="138">
        <f t="shared" si="1"/>
        <v>5279700</v>
      </c>
      <c r="J67" s="213">
        <v>70</v>
      </c>
      <c r="K67" s="214" t="s">
        <v>64</v>
      </c>
      <c r="L67" s="189">
        <v>3643200</v>
      </c>
      <c r="M67" s="190">
        <v>868100</v>
      </c>
      <c r="N67" s="189">
        <v>766700</v>
      </c>
      <c r="O67" s="190">
        <v>0</v>
      </c>
      <c r="P67" s="189">
        <v>0</v>
      </c>
      <c r="Q67" s="212">
        <v>5278000</v>
      </c>
    </row>
    <row r="68" spans="1:17" x14ac:dyDescent="0.2">
      <c r="A68" s="101">
        <v>71</v>
      </c>
      <c r="B68" s="133" t="s">
        <v>65</v>
      </c>
      <c r="C68" s="51">
        <f>HLOOKUP(B68,'Ressourcenausgleich Basis'!$C$8:$CB$151,144,FALSE)</f>
        <v>1553400</v>
      </c>
      <c r="D68" s="116">
        <f>HLOOKUP(B68,'SL Weite Basis'!$C$8:$CB$74,67,FALSE)</f>
        <v>634600</v>
      </c>
      <c r="E68" s="116">
        <f>HLOOKUP(B68,'SL Schule Basis'!$C$8:$CB$65,58,FALSE)</f>
        <v>598400</v>
      </c>
      <c r="F68" s="51">
        <f>HLOOKUP(B68,'SL Sozio Basis'!$C$8:$CB$55,48,FALSE)</f>
        <v>0</v>
      </c>
      <c r="G68" s="116">
        <v>0</v>
      </c>
      <c r="H68" s="138">
        <f t="shared" si="1"/>
        <v>2786400</v>
      </c>
      <c r="J68" s="213">
        <v>71</v>
      </c>
      <c r="K68" s="214" t="s">
        <v>65</v>
      </c>
      <c r="L68" s="189">
        <v>1553400</v>
      </c>
      <c r="M68" s="190">
        <v>634600</v>
      </c>
      <c r="N68" s="189">
        <v>597300</v>
      </c>
      <c r="O68" s="190">
        <v>0</v>
      </c>
      <c r="P68" s="189">
        <v>0</v>
      </c>
      <c r="Q68" s="212">
        <v>2785300</v>
      </c>
    </row>
    <row r="69" spans="1:17" x14ac:dyDescent="0.2">
      <c r="A69" s="101">
        <v>72</v>
      </c>
      <c r="B69" s="133" t="s">
        <v>66</v>
      </c>
      <c r="C69" s="51">
        <f>HLOOKUP(B69,'Ressourcenausgleich Basis'!$C$8:$CB$151,144,FALSE)</f>
        <v>3607800</v>
      </c>
      <c r="D69" s="116">
        <f>HLOOKUP(B69,'SL Weite Basis'!$C$8:$CB$74,67,FALSE)</f>
        <v>1956400</v>
      </c>
      <c r="E69" s="116">
        <f>HLOOKUP(B69,'SL Schule Basis'!$C$8:$CB$65,58,FALSE)</f>
        <v>1302200</v>
      </c>
      <c r="F69" s="51">
        <f>HLOOKUP(B69,'SL Sozio Basis'!$C$8:$CB$55,48,FALSE)</f>
        <v>8900</v>
      </c>
      <c r="G69" s="116">
        <v>0</v>
      </c>
      <c r="H69" s="138">
        <f t="shared" si="1"/>
        <v>6875300</v>
      </c>
      <c r="J69" s="213">
        <v>72</v>
      </c>
      <c r="K69" s="214" t="s">
        <v>66</v>
      </c>
      <c r="L69" s="189">
        <v>3607800</v>
      </c>
      <c r="M69" s="190">
        <v>1956400</v>
      </c>
      <c r="N69" s="189">
        <v>1299400</v>
      </c>
      <c r="O69" s="190">
        <v>8800</v>
      </c>
      <c r="P69" s="189">
        <v>0</v>
      </c>
      <c r="Q69" s="212">
        <v>6872400</v>
      </c>
    </row>
    <row r="70" spans="1:17" x14ac:dyDescent="0.2">
      <c r="A70" s="101">
        <v>73</v>
      </c>
      <c r="B70" s="133" t="s">
        <v>67</v>
      </c>
      <c r="C70" s="51">
        <f>HLOOKUP(B70,'Ressourcenausgleich Basis'!$C$8:$CB$151,144,FALSE)</f>
        <v>5080000</v>
      </c>
      <c r="D70" s="116">
        <f>HLOOKUP(B70,'SL Weite Basis'!$C$8:$CB$74,67,FALSE)</f>
        <v>2279000</v>
      </c>
      <c r="E70" s="116">
        <f>HLOOKUP(B70,'SL Schule Basis'!$C$8:$CB$65,58,FALSE)</f>
        <v>2958000</v>
      </c>
      <c r="F70" s="51">
        <f>HLOOKUP(B70,'SL Sozio Basis'!$C$8:$CB$55,48,FALSE)</f>
        <v>88700</v>
      </c>
      <c r="G70" s="116">
        <v>0</v>
      </c>
      <c r="H70" s="138">
        <f t="shared" si="1"/>
        <v>10405700</v>
      </c>
      <c r="J70" s="213">
        <v>73</v>
      </c>
      <c r="K70" s="214" t="s">
        <v>67</v>
      </c>
      <c r="L70" s="189">
        <v>5080000</v>
      </c>
      <c r="M70" s="190">
        <v>2279000</v>
      </c>
      <c r="N70" s="189">
        <v>2952100</v>
      </c>
      <c r="O70" s="190">
        <v>87600</v>
      </c>
      <c r="P70" s="189">
        <v>0</v>
      </c>
      <c r="Q70" s="212">
        <v>10398700</v>
      </c>
    </row>
    <row r="71" spans="1:17" x14ac:dyDescent="0.2">
      <c r="A71" s="101">
        <v>76</v>
      </c>
      <c r="B71" s="133" t="s">
        <v>68</v>
      </c>
      <c r="C71" s="51">
        <f>HLOOKUP(B71,'Ressourcenausgleich Basis'!$C$8:$CB$151,144,FALSE)</f>
        <v>1325800</v>
      </c>
      <c r="D71" s="116">
        <f>HLOOKUP(B71,'SL Weite Basis'!$C$8:$CB$74,67,FALSE)</f>
        <v>62900</v>
      </c>
      <c r="E71" s="116">
        <f>HLOOKUP(B71,'SL Schule Basis'!$C$8:$CB$65,58,FALSE)</f>
        <v>1322800</v>
      </c>
      <c r="F71" s="51">
        <f>HLOOKUP(B71,'SL Sozio Basis'!$C$8:$CB$55,48,FALSE)</f>
        <v>0</v>
      </c>
      <c r="G71" s="116">
        <v>0</v>
      </c>
      <c r="H71" s="138">
        <f t="shared" si="1"/>
        <v>2711500</v>
      </c>
      <c r="J71" s="213">
        <v>76</v>
      </c>
      <c r="K71" s="214" t="s">
        <v>68</v>
      </c>
      <c r="L71" s="189">
        <v>1325800</v>
      </c>
      <c r="M71" s="190">
        <v>62900</v>
      </c>
      <c r="N71" s="189">
        <v>1320000</v>
      </c>
      <c r="O71" s="190">
        <v>0</v>
      </c>
      <c r="P71" s="189">
        <v>0</v>
      </c>
      <c r="Q71" s="212">
        <v>2708700</v>
      </c>
    </row>
    <row r="72" spans="1:17" x14ac:dyDescent="0.2">
      <c r="A72" s="101">
        <v>77</v>
      </c>
      <c r="B72" s="133" t="s">
        <v>69</v>
      </c>
      <c r="C72" s="51">
        <f>HLOOKUP(B72,'Ressourcenausgleich Basis'!$C$8:$CB$151,144,FALSE)</f>
        <v>2516400</v>
      </c>
      <c r="D72" s="116">
        <f>HLOOKUP(B72,'SL Weite Basis'!$C$8:$CB$74,67,FALSE)</f>
        <v>0</v>
      </c>
      <c r="E72" s="116">
        <f>HLOOKUP(B72,'SL Schule Basis'!$C$8:$CB$65,58,FALSE)</f>
        <v>689500</v>
      </c>
      <c r="F72" s="51">
        <f>HLOOKUP(B72,'SL Sozio Basis'!$C$8:$CB$55,48,FALSE)</f>
        <v>0</v>
      </c>
      <c r="G72" s="116">
        <v>0</v>
      </c>
      <c r="H72" s="138">
        <f t="shared" ref="H72:H84" si="2">SUM(C72:G72)</f>
        <v>3205900</v>
      </c>
      <c r="J72" s="213">
        <v>77</v>
      </c>
      <c r="K72" s="214" t="s">
        <v>69</v>
      </c>
      <c r="L72" s="189">
        <v>2516400</v>
      </c>
      <c r="M72" s="190">
        <v>0</v>
      </c>
      <c r="N72" s="189">
        <v>688100</v>
      </c>
      <c r="O72" s="190">
        <v>0</v>
      </c>
      <c r="P72" s="189">
        <v>0</v>
      </c>
      <c r="Q72" s="212">
        <v>3204500</v>
      </c>
    </row>
    <row r="73" spans="1:17" x14ac:dyDescent="0.2">
      <c r="A73" s="101">
        <v>78</v>
      </c>
      <c r="B73" s="133" t="s">
        <v>70</v>
      </c>
      <c r="C73" s="51">
        <f>HLOOKUP(B73,'Ressourcenausgleich Basis'!$C$8:$CB$151,144,FALSE)</f>
        <v>5867500</v>
      </c>
      <c r="D73" s="116">
        <f>HLOOKUP(B73,'SL Weite Basis'!$C$8:$CB$74,67,FALSE)</f>
        <v>0</v>
      </c>
      <c r="E73" s="116">
        <f>HLOOKUP(B73,'SL Schule Basis'!$C$8:$CB$65,58,FALSE)</f>
        <v>1330000</v>
      </c>
      <c r="F73" s="51">
        <f>HLOOKUP(B73,'SL Sozio Basis'!$C$8:$CB$55,48,FALSE)</f>
        <v>0</v>
      </c>
      <c r="G73" s="116">
        <v>0</v>
      </c>
      <c r="H73" s="138">
        <f t="shared" si="2"/>
        <v>7197500</v>
      </c>
      <c r="J73" s="213">
        <v>78</v>
      </c>
      <c r="K73" s="214" t="s">
        <v>70</v>
      </c>
      <c r="L73" s="189">
        <v>5867500</v>
      </c>
      <c r="M73" s="190">
        <v>0</v>
      </c>
      <c r="N73" s="189">
        <v>1327300</v>
      </c>
      <c r="O73" s="190">
        <v>0</v>
      </c>
      <c r="P73" s="189">
        <v>0</v>
      </c>
      <c r="Q73" s="212">
        <v>7194800</v>
      </c>
    </row>
    <row r="74" spans="1:17" x14ac:dyDescent="0.2">
      <c r="A74" s="101">
        <v>79</v>
      </c>
      <c r="B74" s="133" t="s">
        <v>71</v>
      </c>
      <c r="C74" s="51">
        <f>HLOOKUP(B74,'Ressourcenausgleich Basis'!$C$8:$CB$151,144,FALSE)</f>
        <v>6098400</v>
      </c>
      <c r="D74" s="116">
        <f>HLOOKUP(B74,'SL Weite Basis'!$C$8:$CB$74,67,FALSE)</f>
        <v>0</v>
      </c>
      <c r="E74" s="116">
        <f>HLOOKUP(B74,'SL Schule Basis'!$C$8:$CB$65,58,FALSE)</f>
        <v>1311100</v>
      </c>
      <c r="F74" s="51">
        <f>HLOOKUP(B74,'SL Sozio Basis'!$C$8:$CB$55,48,FALSE)</f>
        <v>254100</v>
      </c>
      <c r="G74" s="116">
        <v>0</v>
      </c>
      <c r="H74" s="138">
        <f t="shared" si="2"/>
        <v>7663600</v>
      </c>
      <c r="J74" s="213">
        <v>79</v>
      </c>
      <c r="K74" s="214" t="s">
        <v>71</v>
      </c>
      <c r="L74" s="189">
        <v>6098400</v>
      </c>
      <c r="M74" s="190">
        <v>0</v>
      </c>
      <c r="N74" s="189">
        <v>1308400</v>
      </c>
      <c r="O74" s="190">
        <v>252800</v>
      </c>
      <c r="P74" s="189">
        <v>0</v>
      </c>
      <c r="Q74" s="212">
        <v>7659600</v>
      </c>
    </row>
    <row r="75" spans="1:17" x14ac:dyDescent="0.2">
      <c r="A75" s="101">
        <v>80</v>
      </c>
      <c r="B75" s="133" t="s">
        <v>72</v>
      </c>
      <c r="C75" s="51">
        <f>HLOOKUP(B75,'Ressourcenausgleich Basis'!$C$8:$CB$151,144,FALSE)</f>
        <v>3385200</v>
      </c>
      <c r="D75" s="116">
        <f>HLOOKUP(B75,'SL Weite Basis'!$C$8:$CB$74,67,FALSE)</f>
        <v>904600</v>
      </c>
      <c r="E75" s="116">
        <f>HLOOKUP(B75,'SL Schule Basis'!$C$8:$CB$65,58,FALSE)</f>
        <v>929300</v>
      </c>
      <c r="F75" s="51">
        <f>HLOOKUP(B75,'SL Sozio Basis'!$C$8:$CB$55,48,FALSE)</f>
        <v>46400</v>
      </c>
      <c r="G75" s="116">
        <v>0</v>
      </c>
      <c r="H75" s="138">
        <f t="shared" si="2"/>
        <v>5265500</v>
      </c>
      <c r="J75" s="213">
        <v>80</v>
      </c>
      <c r="K75" s="214" t="s">
        <v>72</v>
      </c>
      <c r="L75" s="189">
        <v>3385200</v>
      </c>
      <c r="M75" s="190">
        <v>904600</v>
      </c>
      <c r="N75" s="189">
        <v>927300</v>
      </c>
      <c r="O75" s="190">
        <v>46200</v>
      </c>
      <c r="P75" s="189">
        <v>0</v>
      </c>
      <c r="Q75" s="212">
        <v>5263300</v>
      </c>
    </row>
    <row r="76" spans="1:17" x14ac:dyDescent="0.2">
      <c r="A76" s="101">
        <v>81</v>
      </c>
      <c r="B76" s="133" t="s">
        <v>73</v>
      </c>
      <c r="C76" s="51">
        <f>HLOOKUP(B76,'Ressourcenausgleich Basis'!$C$8:$CB$151,144,FALSE)</f>
        <v>0</v>
      </c>
      <c r="D76" s="116">
        <f>HLOOKUP(B76,'SL Weite Basis'!$C$8:$CB$74,67,FALSE)</f>
        <v>0</v>
      </c>
      <c r="E76" s="116">
        <f>HLOOKUP(B76,'SL Schule Basis'!$C$8:$CB$65,58,FALSE)</f>
        <v>0</v>
      </c>
      <c r="F76" s="51">
        <f>HLOOKUP(B76,'SL Sozio Basis'!$C$8:$CB$55,48,FALSE)</f>
        <v>2498200</v>
      </c>
      <c r="G76" s="116">
        <v>0</v>
      </c>
      <c r="H76" s="138">
        <f t="shared" si="2"/>
        <v>2498200</v>
      </c>
      <c r="J76" s="213">
        <v>81</v>
      </c>
      <c r="K76" s="214" t="s">
        <v>73</v>
      </c>
      <c r="L76" s="189">
        <v>0</v>
      </c>
      <c r="M76" s="190">
        <v>0</v>
      </c>
      <c r="N76" s="189">
        <v>0</v>
      </c>
      <c r="O76" s="190">
        <v>2495300</v>
      </c>
      <c r="P76" s="189">
        <v>0</v>
      </c>
      <c r="Q76" s="212">
        <v>2495300</v>
      </c>
    </row>
    <row r="77" spans="1:17" x14ac:dyDescent="0.2">
      <c r="A77" s="101">
        <v>83</v>
      </c>
      <c r="B77" s="133" t="s">
        <v>74</v>
      </c>
      <c r="C77" s="51">
        <f>HLOOKUP(B77,'Ressourcenausgleich Basis'!$C$8:$CB$151,144,FALSE)</f>
        <v>0</v>
      </c>
      <c r="D77" s="116">
        <f>HLOOKUP(B77,'SL Weite Basis'!$C$8:$CB$74,67,FALSE)</f>
        <v>0</v>
      </c>
      <c r="E77" s="116">
        <f>HLOOKUP(B77,'SL Schule Basis'!$C$8:$CB$65,58,FALSE)</f>
        <v>0</v>
      </c>
      <c r="F77" s="51">
        <f>HLOOKUP(B77,'SL Sozio Basis'!$C$8:$CB$55,48,FALSE)</f>
        <v>0</v>
      </c>
      <c r="G77" s="116">
        <v>0</v>
      </c>
      <c r="H77" s="138">
        <f t="shared" si="2"/>
        <v>0</v>
      </c>
      <c r="J77" s="213">
        <v>83</v>
      </c>
      <c r="K77" s="214" t="s">
        <v>74</v>
      </c>
      <c r="L77" s="189">
        <v>0</v>
      </c>
      <c r="M77" s="190">
        <v>0</v>
      </c>
      <c r="N77" s="189">
        <v>0</v>
      </c>
      <c r="O77" s="190">
        <v>0</v>
      </c>
      <c r="P77" s="189">
        <v>0</v>
      </c>
      <c r="Q77" s="212">
        <v>0</v>
      </c>
    </row>
    <row r="78" spans="1:17" x14ac:dyDescent="0.2">
      <c r="A78" s="101">
        <v>84</v>
      </c>
      <c r="B78" s="133" t="s">
        <v>75</v>
      </c>
      <c r="C78" s="51">
        <f>HLOOKUP(B78,'Ressourcenausgleich Basis'!$C$8:$CB$151,144,FALSE)</f>
        <v>0</v>
      </c>
      <c r="D78" s="116">
        <f>HLOOKUP(B78,'SL Weite Basis'!$C$8:$CB$74,67,FALSE)</f>
        <v>544900</v>
      </c>
      <c r="E78" s="116">
        <f>HLOOKUP(B78,'SL Schule Basis'!$C$8:$CB$65,58,FALSE)</f>
        <v>293200</v>
      </c>
      <c r="F78" s="51">
        <f>HLOOKUP(B78,'SL Sozio Basis'!$C$8:$CB$55,48,FALSE)</f>
        <v>0</v>
      </c>
      <c r="G78" s="116">
        <v>0</v>
      </c>
      <c r="H78" s="138">
        <f t="shared" si="2"/>
        <v>838100</v>
      </c>
      <c r="J78" s="213">
        <v>84</v>
      </c>
      <c r="K78" s="214" t="s">
        <v>75</v>
      </c>
      <c r="L78" s="189">
        <v>0</v>
      </c>
      <c r="M78" s="190">
        <v>544900</v>
      </c>
      <c r="N78" s="189">
        <v>292600</v>
      </c>
      <c r="O78" s="190">
        <v>0</v>
      </c>
      <c r="P78" s="189">
        <v>0</v>
      </c>
      <c r="Q78" s="212">
        <v>837500</v>
      </c>
    </row>
    <row r="79" spans="1:17" x14ac:dyDescent="0.2">
      <c r="A79" s="101">
        <v>85</v>
      </c>
      <c r="B79" s="133" t="s">
        <v>76</v>
      </c>
      <c r="C79" s="51">
        <f>HLOOKUP(B79,'Ressourcenausgleich Basis'!$C$8:$CB$151,144,FALSE)</f>
        <v>1051000</v>
      </c>
      <c r="D79" s="116">
        <f>HLOOKUP(B79,'SL Weite Basis'!$C$8:$CB$74,67,FALSE)</f>
        <v>551400</v>
      </c>
      <c r="E79" s="116">
        <f>HLOOKUP(B79,'SL Schule Basis'!$C$8:$CB$65,58,FALSE)</f>
        <v>524800</v>
      </c>
      <c r="F79" s="51">
        <f>HLOOKUP(B79,'SL Sozio Basis'!$C$8:$CB$55,48,FALSE)</f>
        <v>0</v>
      </c>
      <c r="G79" s="116">
        <v>0</v>
      </c>
      <c r="H79" s="138">
        <f t="shared" si="2"/>
        <v>2127200</v>
      </c>
      <c r="J79" s="213">
        <v>85</v>
      </c>
      <c r="K79" s="214" t="s">
        <v>76</v>
      </c>
      <c r="L79" s="189">
        <v>1051000</v>
      </c>
      <c r="M79" s="190">
        <v>551400</v>
      </c>
      <c r="N79" s="189">
        <v>523700</v>
      </c>
      <c r="O79" s="190">
        <v>0</v>
      </c>
      <c r="P79" s="189">
        <v>0</v>
      </c>
      <c r="Q79" s="212">
        <v>2126100</v>
      </c>
    </row>
    <row r="80" spans="1:17" x14ac:dyDescent="0.2">
      <c r="A80" s="101">
        <v>86</v>
      </c>
      <c r="B80" s="133" t="s">
        <v>77</v>
      </c>
      <c r="C80" s="51">
        <f>HLOOKUP(B80,'Ressourcenausgleich Basis'!$C$8:$CB$151,144,FALSE)</f>
        <v>1323800</v>
      </c>
      <c r="D80" s="116">
        <f>HLOOKUP(B80,'SL Weite Basis'!$C$8:$CB$74,67,FALSE)</f>
        <v>597800</v>
      </c>
      <c r="E80" s="116">
        <f>HLOOKUP(B80,'SL Schule Basis'!$C$8:$CB$65,58,FALSE)</f>
        <v>1149000</v>
      </c>
      <c r="F80" s="51">
        <f>HLOOKUP(B80,'SL Sozio Basis'!$C$8:$CB$55,48,FALSE)</f>
        <v>0</v>
      </c>
      <c r="G80" s="116">
        <v>0</v>
      </c>
      <c r="H80" s="138">
        <f t="shared" si="2"/>
        <v>3070600</v>
      </c>
      <c r="J80" s="213">
        <v>86</v>
      </c>
      <c r="K80" s="214" t="s">
        <v>77</v>
      </c>
      <c r="L80" s="189">
        <v>1323800</v>
      </c>
      <c r="M80" s="190">
        <v>597800</v>
      </c>
      <c r="N80" s="189">
        <v>1146600</v>
      </c>
      <c r="O80" s="190">
        <v>0</v>
      </c>
      <c r="P80" s="189">
        <v>0</v>
      </c>
      <c r="Q80" s="212">
        <v>3068200</v>
      </c>
    </row>
    <row r="81" spans="1:17" x14ac:dyDescent="0.2">
      <c r="A81" s="101">
        <v>87</v>
      </c>
      <c r="B81" s="133" t="s">
        <v>78</v>
      </c>
      <c r="C81" s="51">
        <f>HLOOKUP(B81,'Ressourcenausgleich Basis'!$C$8:$CB$151,144,FALSE)</f>
        <v>455500</v>
      </c>
      <c r="D81" s="116">
        <f>HLOOKUP(B81,'SL Weite Basis'!$C$8:$CB$74,67,FALSE)</f>
        <v>0</v>
      </c>
      <c r="E81" s="116">
        <f>HLOOKUP(B81,'SL Schule Basis'!$C$8:$CB$65,58,FALSE)</f>
        <v>0</v>
      </c>
      <c r="F81" s="51">
        <f>HLOOKUP(B81,'SL Sozio Basis'!$C$8:$CB$55,48,FALSE)</f>
        <v>0</v>
      </c>
      <c r="G81" s="116">
        <v>0</v>
      </c>
      <c r="H81" s="138">
        <f t="shared" si="2"/>
        <v>455500</v>
      </c>
      <c r="J81" s="213">
        <v>87</v>
      </c>
      <c r="K81" s="214" t="s">
        <v>78</v>
      </c>
      <c r="L81" s="189">
        <v>455500</v>
      </c>
      <c r="M81" s="190">
        <v>0</v>
      </c>
      <c r="N81" s="189">
        <v>0</v>
      </c>
      <c r="O81" s="190">
        <v>0</v>
      </c>
      <c r="P81" s="189">
        <v>0</v>
      </c>
      <c r="Q81" s="212">
        <v>455500</v>
      </c>
    </row>
    <row r="82" spans="1:17" x14ac:dyDescent="0.2">
      <c r="A82" s="101">
        <v>88</v>
      </c>
      <c r="B82" s="133" t="s">
        <v>79</v>
      </c>
      <c r="C82" s="51">
        <f>HLOOKUP(B82,'Ressourcenausgleich Basis'!$C$8:$CB$151,144,FALSE)</f>
        <v>0</v>
      </c>
      <c r="D82" s="116">
        <f>HLOOKUP(B82,'SL Weite Basis'!$C$8:$CB$74,67,FALSE)</f>
        <v>142200</v>
      </c>
      <c r="E82" s="116">
        <f>HLOOKUP(B82,'SL Schule Basis'!$C$8:$CB$65,58,FALSE)</f>
        <v>966900</v>
      </c>
      <c r="F82" s="51">
        <f>HLOOKUP(B82,'SL Sozio Basis'!$C$8:$CB$55,48,FALSE)</f>
        <v>0</v>
      </c>
      <c r="G82" s="116">
        <v>0</v>
      </c>
      <c r="H82" s="138">
        <f t="shared" si="2"/>
        <v>1109100</v>
      </c>
      <c r="J82" s="213">
        <v>88</v>
      </c>
      <c r="K82" s="214" t="s">
        <v>79</v>
      </c>
      <c r="L82" s="189">
        <v>0</v>
      </c>
      <c r="M82" s="190">
        <v>142200</v>
      </c>
      <c r="N82" s="189">
        <v>964800</v>
      </c>
      <c r="O82" s="190">
        <v>0</v>
      </c>
      <c r="P82" s="189">
        <v>0</v>
      </c>
      <c r="Q82" s="212">
        <v>1107000</v>
      </c>
    </row>
    <row r="83" spans="1:17" x14ac:dyDescent="0.2">
      <c r="A83" s="101">
        <v>89</v>
      </c>
      <c r="B83" s="133" t="s">
        <v>80</v>
      </c>
      <c r="C83" s="51">
        <f>HLOOKUP(B83,'Ressourcenausgleich Basis'!$C$8:$CB$151,144,FALSE)</f>
        <v>1550900</v>
      </c>
      <c r="D83" s="116">
        <f>HLOOKUP(B83,'SL Weite Basis'!$C$8:$CB$74,67,FALSE)</f>
        <v>1844100</v>
      </c>
      <c r="E83" s="116">
        <f>HLOOKUP(B83,'SL Schule Basis'!$C$8:$CB$65,58,FALSE)</f>
        <v>1587500</v>
      </c>
      <c r="F83" s="51">
        <f>HLOOKUP(B83,'SL Sozio Basis'!$C$8:$CB$55,48,FALSE)</f>
        <v>0</v>
      </c>
      <c r="G83" s="116">
        <v>0</v>
      </c>
      <c r="H83" s="138">
        <f t="shared" si="2"/>
        <v>4982500</v>
      </c>
      <c r="J83" s="213">
        <v>89</v>
      </c>
      <c r="K83" s="214" t="s">
        <v>80</v>
      </c>
      <c r="L83" s="189">
        <v>1550900</v>
      </c>
      <c r="M83" s="190">
        <v>1844100</v>
      </c>
      <c r="N83" s="189">
        <v>1584200</v>
      </c>
      <c r="O83" s="190">
        <v>0</v>
      </c>
      <c r="P83" s="189">
        <v>0</v>
      </c>
      <c r="Q83" s="212">
        <v>4979200</v>
      </c>
    </row>
    <row r="84" spans="1:17" x14ac:dyDescent="0.2">
      <c r="A84" s="107">
        <v>90</v>
      </c>
      <c r="B84" s="134" t="s">
        <v>81</v>
      </c>
      <c r="C84" s="108">
        <f>HLOOKUP(B84,'Ressourcenausgleich Basis'!$C$8:$CB$151,144,FALSE)</f>
        <v>0</v>
      </c>
      <c r="D84" s="117">
        <f>HLOOKUP(B84,'SL Weite Basis'!$C$8:$CB$74,67,FALSE)</f>
        <v>0</v>
      </c>
      <c r="E84" s="117">
        <f>HLOOKUP(B84,'SL Schule Basis'!$C$8:$CB$65,58,FALSE)</f>
        <v>89000</v>
      </c>
      <c r="F84" s="108">
        <f>HLOOKUP(B84,'SL Sozio Basis'!$C$8:$CB$55,48,FALSE)</f>
        <v>0</v>
      </c>
      <c r="G84" s="117">
        <v>0</v>
      </c>
      <c r="H84" s="139">
        <f t="shared" si="2"/>
        <v>89000</v>
      </c>
      <c r="J84" s="213">
        <v>90</v>
      </c>
      <c r="K84" s="214" t="s">
        <v>81</v>
      </c>
      <c r="L84" s="189">
        <v>0</v>
      </c>
      <c r="M84" s="190">
        <v>0</v>
      </c>
      <c r="N84" s="189">
        <v>88800</v>
      </c>
      <c r="O84" s="190">
        <v>0</v>
      </c>
      <c r="P84" s="189">
        <v>0</v>
      </c>
      <c r="Q84" s="212">
        <v>88800</v>
      </c>
    </row>
    <row r="85" spans="1:17" x14ac:dyDescent="0.2">
      <c r="A85" s="109"/>
      <c r="B85" s="135" t="s">
        <v>82</v>
      </c>
      <c r="C85" s="110">
        <f>SUM(C8:C84)</f>
        <v>122317300</v>
      </c>
      <c r="D85" s="118">
        <f t="shared" ref="D85:H85" si="3">SUM(D8:D84)</f>
        <v>38316400</v>
      </c>
      <c r="E85" s="118">
        <f>SUM(E8:E84)</f>
        <v>31785700</v>
      </c>
      <c r="F85" s="110">
        <f t="shared" si="3"/>
        <v>25736900</v>
      </c>
      <c r="G85" s="118">
        <f t="shared" si="3"/>
        <v>16173100</v>
      </c>
      <c r="H85" s="118">
        <f t="shared" si="3"/>
        <v>234329400</v>
      </c>
      <c r="J85" s="215"/>
      <c r="K85" s="216" t="s">
        <v>82</v>
      </c>
      <c r="L85" s="217">
        <v>122317300</v>
      </c>
      <c r="M85" s="216">
        <v>38316400</v>
      </c>
      <c r="N85" s="217">
        <v>31720100</v>
      </c>
      <c r="O85" s="216">
        <v>25712100</v>
      </c>
      <c r="P85" s="217">
        <v>16173100</v>
      </c>
      <c r="Q85" s="216">
        <v>234239000</v>
      </c>
    </row>
  </sheetData>
  <pageMargins left="0.51181102362204722" right="0.51181102362204722" top="0.39370078740157483" bottom="0.39370078740157483" header="0.31496062992125984" footer="0.31496062992125984"/>
  <pageSetup paperSize="9" scale="70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XES89"/>
  <sheetViews>
    <sheetView topLeftCell="T58" zoomScaleNormal="100" workbookViewId="0"/>
  </sheetViews>
  <sheetFormatPr baseColWidth="10" defaultRowHeight="12.75" x14ac:dyDescent="0.2"/>
  <cols>
    <col min="1" max="1" width="4" style="3" customWidth="1"/>
    <col min="2" max="2" width="20.5703125" style="3" bestFit="1" customWidth="1"/>
    <col min="3" max="7" width="17.85546875" style="3" customWidth="1"/>
    <col min="8" max="8" width="17.140625" style="3" customWidth="1"/>
    <col min="9" max="9" width="4.28515625" style="3" customWidth="1"/>
    <col min="10" max="10" width="4" style="3" customWidth="1"/>
    <col min="11" max="11" width="20.5703125" style="3" bestFit="1" customWidth="1"/>
    <col min="12" max="16" width="17.85546875" style="3" customWidth="1"/>
    <col min="17" max="17" width="17.140625" style="3" customWidth="1"/>
    <col min="18" max="18" width="4.28515625" style="3" customWidth="1"/>
    <col min="19" max="19" width="4" style="3" customWidth="1"/>
    <col min="20" max="20" width="20.5703125" style="3" bestFit="1" customWidth="1"/>
    <col min="21" max="25" width="17.85546875" style="3" customWidth="1"/>
    <col min="26" max="26" width="17.140625" style="3" customWidth="1"/>
    <col min="27" max="27" width="4.28515625" style="3" customWidth="1"/>
    <col min="28" max="28" width="4" style="3" customWidth="1"/>
    <col min="29" max="29" width="20.5703125" style="3" bestFit="1" customWidth="1"/>
    <col min="30" max="34" width="17.85546875" style="3" customWidth="1"/>
    <col min="35" max="35" width="17.140625" style="3" customWidth="1"/>
    <col min="36" max="53" width="21" style="3" customWidth="1"/>
    <col min="54" max="54" width="22.7109375" style="3" bestFit="1" customWidth="1"/>
    <col min="55" max="71" width="21" style="3" customWidth="1"/>
    <col min="72" max="479" width="11.42578125" style="38"/>
    <col min="480" max="16036" width="11.42578125" style="3"/>
    <col min="16037" max="16384" width="11.42578125" style="38"/>
  </cols>
  <sheetData>
    <row r="1" spans="1:815 1097:5554 16037:16373" x14ac:dyDescent="0.2">
      <c r="A1" s="83" t="s">
        <v>217</v>
      </c>
      <c r="B1"/>
      <c r="C1"/>
      <c r="D1"/>
      <c r="E1"/>
      <c r="F1"/>
      <c r="G1"/>
      <c r="I1" s="102"/>
      <c r="J1" s="83" t="s">
        <v>217</v>
      </c>
      <c r="K1"/>
      <c r="L1"/>
      <c r="M1"/>
      <c r="N1"/>
      <c r="O1"/>
      <c r="P1"/>
      <c r="R1" s="102"/>
      <c r="S1" s="83" t="s">
        <v>217</v>
      </c>
      <c r="T1"/>
      <c r="U1"/>
      <c r="V1"/>
      <c r="W1"/>
      <c r="X1"/>
      <c r="Y1"/>
      <c r="AA1" s="102"/>
      <c r="AB1" s="83" t="s">
        <v>217</v>
      </c>
      <c r="AC1"/>
      <c r="AD1"/>
      <c r="AE1"/>
      <c r="AF1"/>
      <c r="AG1"/>
      <c r="AH1"/>
    </row>
    <row r="2" spans="1:815 1097:5554 16037:16373" x14ac:dyDescent="0.2">
      <c r="A2" t="s">
        <v>218</v>
      </c>
      <c r="B2"/>
      <c r="C2"/>
      <c r="D2"/>
      <c r="E2"/>
      <c r="F2"/>
      <c r="G2"/>
      <c r="I2" s="102"/>
      <c r="J2" t="s">
        <v>218</v>
      </c>
      <c r="K2"/>
      <c r="L2"/>
      <c r="M2"/>
      <c r="N2"/>
      <c r="O2"/>
      <c r="P2"/>
      <c r="R2" s="102"/>
      <c r="S2" t="s">
        <v>218</v>
      </c>
      <c r="T2"/>
      <c r="U2"/>
      <c r="V2"/>
      <c r="W2"/>
      <c r="X2"/>
      <c r="Y2"/>
      <c r="AA2" s="102"/>
      <c r="AB2" t="s">
        <v>218</v>
      </c>
      <c r="AC2"/>
      <c r="AD2"/>
      <c r="AE2"/>
      <c r="AF2"/>
      <c r="AG2"/>
      <c r="AH2"/>
    </row>
    <row r="3" spans="1:815 1097:5554 16037:16373" x14ac:dyDescent="0.2">
      <c r="A3"/>
      <c r="B3"/>
      <c r="C3"/>
      <c r="D3"/>
      <c r="E3"/>
      <c r="F3"/>
      <c r="G3"/>
      <c r="I3" s="102"/>
      <c r="J3"/>
      <c r="K3"/>
      <c r="L3"/>
      <c r="M3"/>
      <c r="N3"/>
      <c r="O3"/>
      <c r="P3"/>
      <c r="R3" s="102"/>
      <c r="S3"/>
      <c r="T3"/>
      <c r="U3"/>
      <c r="V3"/>
      <c r="W3"/>
      <c r="X3"/>
      <c r="Y3"/>
      <c r="AA3" s="102"/>
      <c r="AB3"/>
      <c r="AC3"/>
      <c r="AD3"/>
      <c r="AE3"/>
      <c r="AF3"/>
      <c r="AG3"/>
      <c r="AH3"/>
    </row>
    <row r="4" spans="1:815 1097:5554 16037:16373" x14ac:dyDescent="0.2">
      <c r="A4"/>
      <c r="B4"/>
      <c r="C4"/>
      <c r="D4"/>
      <c r="E4"/>
      <c r="F4"/>
      <c r="G4"/>
      <c r="I4" s="102"/>
      <c r="J4"/>
      <c r="K4"/>
      <c r="L4"/>
      <c r="M4"/>
      <c r="N4"/>
      <c r="O4"/>
      <c r="P4"/>
      <c r="R4" s="102"/>
      <c r="S4"/>
      <c r="T4"/>
      <c r="U4"/>
      <c r="V4"/>
      <c r="W4"/>
      <c r="X4"/>
      <c r="Y4"/>
      <c r="AA4" s="102"/>
      <c r="AB4"/>
      <c r="AC4"/>
      <c r="AD4"/>
      <c r="AE4"/>
      <c r="AF4"/>
      <c r="AG4"/>
      <c r="AH4"/>
    </row>
    <row r="5" spans="1:815 1097:5554 16037:16373" ht="26.25" x14ac:dyDescent="0.4">
      <c r="A5" s="18" t="s">
        <v>237</v>
      </c>
      <c r="I5" s="102"/>
      <c r="J5" s="18" t="s">
        <v>238</v>
      </c>
      <c r="R5" s="102"/>
      <c r="S5" s="18" t="s">
        <v>239</v>
      </c>
      <c r="AA5" s="102"/>
      <c r="AB5" s="18" t="s">
        <v>240</v>
      </c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  <c r="HDV5" s="38"/>
      <c r="HDW5" s="38"/>
      <c r="HDX5" s="38"/>
      <c r="HDY5" s="38"/>
      <c r="HDZ5" s="38"/>
      <c r="HEA5" s="38"/>
      <c r="HEB5" s="38"/>
      <c r="HEC5" s="38"/>
      <c r="HED5" s="38"/>
      <c r="HEE5" s="38"/>
      <c r="HEF5" s="38"/>
      <c r="HEG5" s="38"/>
      <c r="HEH5" s="38"/>
      <c r="HEI5" s="38"/>
      <c r="HEJ5" s="38"/>
      <c r="HEK5" s="38"/>
      <c r="HEL5" s="38"/>
      <c r="HEM5" s="38"/>
      <c r="HEN5" s="38"/>
      <c r="HEO5" s="38"/>
      <c r="HEP5" s="38"/>
    </row>
    <row r="6" spans="1:815 1097:5554 16037:16373" s="3" customFormat="1" x14ac:dyDescent="0.2">
      <c r="C6" s="5"/>
      <c r="D6" s="5"/>
      <c r="E6" s="5"/>
      <c r="F6" s="5"/>
      <c r="G6" s="5"/>
      <c r="H6" s="5"/>
      <c r="I6" s="103"/>
      <c r="L6" s="5"/>
      <c r="M6" s="5"/>
      <c r="N6" s="5"/>
      <c r="O6" s="5"/>
      <c r="P6" s="5"/>
      <c r="Q6" s="5"/>
      <c r="R6" s="103"/>
      <c r="U6" s="5"/>
      <c r="V6" s="5"/>
      <c r="W6" s="5"/>
      <c r="X6" s="5"/>
      <c r="Y6" s="5"/>
      <c r="Z6" s="5"/>
      <c r="AA6" s="103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WRU6" s="38"/>
      <c r="WRV6" s="38"/>
      <c r="WRW6" s="38"/>
      <c r="WRX6" s="38"/>
      <c r="WRY6" s="38"/>
      <c r="WRZ6" s="38"/>
      <c r="WSA6" s="38"/>
      <c r="WSB6" s="38"/>
      <c r="WSC6" s="38"/>
      <c r="WSD6" s="38"/>
      <c r="WSE6" s="38"/>
      <c r="WSF6" s="38"/>
      <c r="WSG6" s="38"/>
      <c r="WSH6" s="38"/>
      <c r="WSI6" s="38"/>
      <c r="WSJ6" s="38"/>
      <c r="WSK6" s="38"/>
      <c r="WSL6" s="38"/>
      <c r="WSM6" s="38"/>
      <c r="WSN6" s="38"/>
      <c r="WSO6" s="38"/>
      <c r="WSP6" s="38"/>
      <c r="WSQ6" s="38"/>
      <c r="WSR6" s="38"/>
      <c r="WSS6" s="38"/>
      <c r="WST6" s="38"/>
      <c r="WSU6" s="38"/>
      <c r="WSV6" s="38"/>
      <c r="WSW6" s="38"/>
      <c r="WSX6" s="38"/>
      <c r="WSY6" s="38"/>
      <c r="WSZ6" s="38"/>
      <c r="WTA6" s="38"/>
      <c r="WTB6" s="38"/>
      <c r="WTC6" s="38"/>
      <c r="WTD6" s="38"/>
      <c r="WTE6" s="38"/>
      <c r="WTF6" s="38"/>
      <c r="WTG6" s="38"/>
      <c r="WTH6" s="38"/>
      <c r="WTI6" s="38"/>
      <c r="WTJ6" s="38"/>
      <c r="WTK6" s="38"/>
      <c r="WTL6" s="38"/>
      <c r="WTM6" s="38"/>
      <c r="WTN6" s="38"/>
      <c r="WTO6" s="38"/>
      <c r="WTP6" s="38"/>
      <c r="WTQ6" s="38"/>
      <c r="WTR6" s="38"/>
      <c r="WTS6" s="38"/>
      <c r="WTT6" s="38"/>
      <c r="WTU6" s="38"/>
      <c r="WTV6" s="38"/>
      <c r="WTW6" s="38"/>
      <c r="WTX6" s="38"/>
      <c r="WTY6" s="38"/>
      <c r="WTZ6" s="38"/>
      <c r="WUA6" s="38"/>
      <c r="WUB6" s="38"/>
      <c r="WUC6" s="38"/>
      <c r="WUD6" s="38"/>
      <c r="WUE6" s="38"/>
      <c r="WUF6" s="38"/>
      <c r="WUG6" s="38"/>
      <c r="WUH6" s="38"/>
      <c r="WUI6" s="38"/>
      <c r="WUJ6" s="38"/>
      <c r="WUK6" s="38"/>
      <c r="WUL6" s="38"/>
      <c r="WUM6" s="38"/>
      <c r="WUN6" s="38"/>
      <c r="WUO6" s="38"/>
      <c r="WUP6" s="38"/>
      <c r="WUQ6" s="38"/>
      <c r="WUR6" s="38"/>
      <c r="WUS6" s="38"/>
      <c r="WUT6" s="38"/>
      <c r="WUU6" s="38"/>
      <c r="WUV6" s="38"/>
      <c r="WUW6" s="38"/>
      <c r="WUX6" s="38"/>
      <c r="WUY6" s="38"/>
      <c r="WUZ6" s="38"/>
      <c r="WVA6" s="38"/>
      <c r="WVB6" s="38"/>
      <c r="WVC6" s="38"/>
      <c r="WVD6" s="38"/>
      <c r="WVE6" s="38"/>
      <c r="WVF6" s="38"/>
      <c r="WVG6" s="38"/>
      <c r="WVH6" s="38"/>
      <c r="WVI6" s="38"/>
      <c r="WVJ6" s="38"/>
      <c r="WVK6" s="38"/>
      <c r="WVL6" s="38"/>
      <c r="WVM6" s="38"/>
      <c r="WVN6" s="38"/>
      <c r="WVO6" s="38"/>
      <c r="WVP6" s="38"/>
      <c r="WVQ6" s="38"/>
      <c r="WVR6" s="38"/>
      <c r="WVS6" s="38"/>
      <c r="WVT6" s="38"/>
      <c r="WVU6" s="38"/>
      <c r="WVV6" s="38"/>
      <c r="WVW6" s="38"/>
      <c r="WVX6" s="38"/>
      <c r="WVY6" s="38"/>
      <c r="WVZ6" s="38"/>
      <c r="WWA6" s="38"/>
      <c r="WWB6" s="38"/>
      <c r="WWC6" s="38"/>
      <c r="WWD6" s="38"/>
      <c r="WWE6" s="38"/>
      <c r="WWF6" s="38"/>
      <c r="WWG6" s="38"/>
      <c r="WWH6" s="38"/>
      <c r="WWI6" s="38"/>
      <c r="WWJ6" s="38"/>
      <c r="WWK6" s="38"/>
      <c r="WWL6" s="38"/>
      <c r="WWM6" s="38"/>
      <c r="WWN6" s="38"/>
      <c r="WWO6" s="38"/>
      <c r="WWP6" s="38"/>
      <c r="WWQ6" s="38"/>
      <c r="WWR6" s="38"/>
      <c r="WWS6" s="38"/>
      <c r="WWT6" s="38"/>
      <c r="WWU6" s="38"/>
      <c r="WWV6" s="38"/>
      <c r="WWW6" s="38"/>
      <c r="WWX6" s="38"/>
      <c r="WWY6" s="38"/>
      <c r="WWZ6" s="38"/>
      <c r="WXA6" s="38"/>
      <c r="WXB6" s="38"/>
      <c r="WXC6" s="38"/>
      <c r="WXD6" s="38"/>
      <c r="WXE6" s="38"/>
      <c r="WXF6" s="38"/>
      <c r="WXG6" s="38"/>
      <c r="WXH6" s="38"/>
      <c r="WXI6" s="38"/>
      <c r="WXJ6" s="38"/>
      <c r="WXK6" s="38"/>
      <c r="WXL6" s="38"/>
      <c r="WXM6" s="38"/>
      <c r="WXN6" s="38"/>
      <c r="WXO6" s="38"/>
      <c r="WXP6" s="38"/>
      <c r="WXQ6" s="38"/>
      <c r="WXR6" s="38"/>
      <c r="WXS6" s="38"/>
      <c r="WXT6" s="38"/>
      <c r="WXU6" s="38"/>
      <c r="WXV6" s="38"/>
      <c r="WXW6" s="38"/>
      <c r="WXX6" s="38"/>
      <c r="WXY6" s="38"/>
      <c r="WXZ6" s="38"/>
      <c r="WYA6" s="38"/>
      <c r="WYB6" s="38"/>
      <c r="WYC6" s="38"/>
      <c r="WYD6" s="38"/>
      <c r="WYE6" s="38"/>
      <c r="WYF6" s="38"/>
      <c r="WYG6" s="38"/>
      <c r="WYH6" s="38"/>
      <c r="WYI6" s="38"/>
      <c r="WYJ6" s="38"/>
      <c r="WYK6" s="38"/>
      <c r="WYL6" s="38"/>
      <c r="WYM6" s="38"/>
      <c r="WYN6" s="38"/>
      <c r="WYO6" s="38"/>
      <c r="WYP6" s="38"/>
      <c r="WYQ6" s="38"/>
      <c r="WYR6" s="38"/>
      <c r="WYS6" s="38"/>
      <c r="WYT6" s="38"/>
      <c r="WYU6" s="38"/>
      <c r="WYV6" s="38"/>
      <c r="WYW6" s="38"/>
      <c r="WYX6" s="38"/>
      <c r="WYY6" s="38"/>
      <c r="WYZ6" s="38"/>
      <c r="WZA6" s="38"/>
      <c r="WZB6" s="38"/>
      <c r="WZC6" s="38"/>
      <c r="WZD6" s="38"/>
      <c r="WZE6" s="38"/>
      <c r="WZF6" s="38"/>
      <c r="WZG6" s="38"/>
      <c r="WZH6" s="38"/>
      <c r="WZI6" s="38"/>
      <c r="WZJ6" s="38"/>
      <c r="WZK6" s="38"/>
      <c r="WZL6" s="38"/>
      <c r="WZM6" s="38"/>
      <c r="WZN6" s="38"/>
      <c r="WZO6" s="38"/>
      <c r="WZP6" s="38"/>
      <c r="WZQ6" s="38"/>
      <c r="WZR6" s="38"/>
      <c r="WZS6" s="38"/>
      <c r="WZT6" s="38"/>
      <c r="WZU6" s="38"/>
      <c r="WZV6" s="38"/>
      <c r="WZW6" s="38"/>
      <c r="WZX6" s="38"/>
      <c r="WZY6" s="38"/>
      <c r="WZZ6" s="38"/>
      <c r="XAA6" s="38"/>
      <c r="XAB6" s="38"/>
      <c r="XAC6" s="38"/>
      <c r="XAD6" s="38"/>
      <c r="XAE6" s="38"/>
      <c r="XAF6" s="38"/>
      <c r="XAG6" s="38"/>
      <c r="XAH6" s="38"/>
      <c r="XAI6" s="38"/>
      <c r="XAJ6" s="38"/>
      <c r="XAK6" s="38"/>
      <c r="XAL6" s="38"/>
      <c r="XAM6" s="38"/>
      <c r="XAN6" s="38"/>
      <c r="XAO6" s="38"/>
      <c r="XAP6" s="38"/>
      <c r="XAQ6" s="38"/>
      <c r="XAR6" s="38"/>
      <c r="XAS6" s="38"/>
      <c r="XAT6" s="38"/>
      <c r="XAU6" s="38"/>
      <c r="XAV6" s="38"/>
      <c r="XAW6" s="38"/>
      <c r="XAX6" s="38"/>
      <c r="XAY6" s="38"/>
      <c r="XAZ6" s="38"/>
      <c r="XBA6" s="38"/>
      <c r="XBB6" s="38"/>
      <c r="XBC6" s="38"/>
      <c r="XBD6" s="38"/>
      <c r="XBE6" s="38"/>
      <c r="XBF6" s="38"/>
      <c r="XBG6" s="38"/>
      <c r="XBH6" s="38"/>
      <c r="XBI6" s="38"/>
      <c r="XBJ6" s="38"/>
      <c r="XBK6" s="38"/>
      <c r="XBL6" s="38"/>
      <c r="XBM6" s="38"/>
      <c r="XBN6" s="38"/>
      <c r="XBO6" s="38"/>
      <c r="XBP6" s="38"/>
      <c r="XBQ6" s="38"/>
      <c r="XBR6" s="38"/>
      <c r="XBS6" s="38"/>
      <c r="XBT6" s="38"/>
      <c r="XBU6" s="38"/>
      <c r="XBV6" s="38"/>
      <c r="XBW6" s="38"/>
      <c r="XBX6" s="38"/>
      <c r="XBY6" s="38"/>
      <c r="XBZ6" s="38"/>
      <c r="XCA6" s="38"/>
      <c r="XCB6" s="38"/>
      <c r="XCC6" s="38"/>
      <c r="XCD6" s="38"/>
      <c r="XCE6" s="38"/>
      <c r="XCF6" s="38"/>
      <c r="XCG6" s="38"/>
      <c r="XCH6" s="38"/>
      <c r="XCI6" s="38"/>
      <c r="XCJ6" s="38"/>
      <c r="XCK6" s="38"/>
      <c r="XCL6" s="38"/>
      <c r="XCM6" s="38"/>
      <c r="XCN6" s="38"/>
      <c r="XCO6" s="38"/>
      <c r="XCP6" s="38"/>
      <c r="XCQ6" s="38"/>
      <c r="XCR6" s="38"/>
      <c r="XCS6" s="38"/>
      <c r="XCT6" s="38"/>
      <c r="XCU6" s="38"/>
      <c r="XCV6" s="38"/>
      <c r="XCW6" s="38"/>
      <c r="XCX6" s="38"/>
      <c r="XCY6" s="38"/>
      <c r="XCZ6" s="38"/>
      <c r="XDA6" s="38"/>
      <c r="XDB6" s="38"/>
      <c r="XDC6" s="38"/>
      <c r="XDD6" s="38"/>
      <c r="XDE6" s="38"/>
      <c r="XDF6" s="38"/>
      <c r="XDG6" s="38"/>
      <c r="XDH6" s="38"/>
      <c r="XDI6" s="38"/>
      <c r="XDJ6" s="38"/>
      <c r="XDK6" s="38"/>
      <c r="XDL6" s="38"/>
      <c r="XDM6" s="38"/>
      <c r="XDN6" s="38"/>
      <c r="XDO6" s="38"/>
      <c r="XDP6" s="38"/>
      <c r="XDQ6" s="38"/>
      <c r="XDR6" s="38"/>
      <c r="XDS6" s="38"/>
      <c r="XDT6" s="38"/>
      <c r="XDU6" s="38"/>
      <c r="XDV6" s="38"/>
      <c r="XDW6" s="38"/>
      <c r="XDX6" s="38"/>
      <c r="XDY6" s="38"/>
      <c r="XDZ6" s="38"/>
      <c r="XEA6" s="38"/>
      <c r="XEB6" s="38"/>
      <c r="XEC6" s="38"/>
      <c r="XED6" s="38"/>
      <c r="XEE6" s="38"/>
      <c r="XEF6" s="38"/>
      <c r="XEG6" s="38"/>
      <c r="XEH6" s="38"/>
      <c r="XEI6" s="38"/>
      <c r="XEJ6" s="38"/>
      <c r="XEK6" s="38"/>
      <c r="XEL6" s="38"/>
      <c r="XEM6" s="38"/>
      <c r="XEN6" s="38"/>
      <c r="XEO6" s="38"/>
      <c r="XEP6" s="38"/>
      <c r="XEQ6" s="38"/>
      <c r="XER6" s="38"/>
      <c r="XES6" s="38"/>
    </row>
    <row r="7" spans="1:815 1097:5554 16037:16373" s="3" customFormat="1" ht="38.25" customHeight="1" x14ac:dyDescent="0.2">
      <c r="A7" s="111" t="s">
        <v>234</v>
      </c>
      <c r="B7" s="119" t="s">
        <v>235</v>
      </c>
      <c r="C7" s="113" t="s">
        <v>229</v>
      </c>
      <c r="D7" s="114" t="s">
        <v>230</v>
      </c>
      <c r="E7" s="114" t="s">
        <v>232</v>
      </c>
      <c r="F7" s="113" t="s">
        <v>231</v>
      </c>
      <c r="G7" s="114" t="s">
        <v>233</v>
      </c>
      <c r="H7" s="114" t="s">
        <v>82</v>
      </c>
      <c r="I7" s="103"/>
      <c r="J7" s="111" t="s">
        <v>234</v>
      </c>
      <c r="K7" s="119" t="s">
        <v>235</v>
      </c>
      <c r="L7" s="113" t="s">
        <v>229</v>
      </c>
      <c r="M7" s="114" t="s">
        <v>230</v>
      </c>
      <c r="N7" s="114" t="s">
        <v>232</v>
      </c>
      <c r="O7" s="113" t="s">
        <v>231</v>
      </c>
      <c r="P7" s="114" t="s">
        <v>233</v>
      </c>
      <c r="Q7" s="114" t="s">
        <v>82</v>
      </c>
      <c r="R7" s="103"/>
      <c r="S7" s="111" t="s">
        <v>234</v>
      </c>
      <c r="T7" s="119" t="s">
        <v>235</v>
      </c>
      <c r="U7" s="113" t="s">
        <v>229</v>
      </c>
      <c r="V7" s="114" t="s">
        <v>230</v>
      </c>
      <c r="W7" s="114" t="s">
        <v>232</v>
      </c>
      <c r="X7" s="113" t="s">
        <v>231</v>
      </c>
      <c r="Y7" s="114" t="s">
        <v>233</v>
      </c>
      <c r="Z7" s="114" t="s">
        <v>82</v>
      </c>
      <c r="AA7" s="103"/>
      <c r="AB7" s="111" t="s">
        <v>234</v>
      </c>
      <c r="AC7" s="119" t="s">
        <v>235</v>
      </c>
      <c r="AD7" s="113" t="s">
        <v>229</v>
      </c>
      <c r="AE7" s="114" t="s">
        <v>230</v>
      </c>
      <c r="AF7" s="114" t="s">
        <v>232</v>
      </c>
      <c r="AG7" s="113" t="s">
        <v>231</v>
      </c>
      <c r="AH7" s="114" t="s">
        <v>233</v>
      </c>
      <c r="AI7" s="114" t="s">
        <v>82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Q7" s="5"/>
      <c r="BR7" s="5"/>
      <c r="BS7" s="5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QC7" s="38"/>
      <c r="QD7" s="38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38"/>
      <c r="RJ7" s="38"/>
      <c r="RK7" s="38"/>
      <c r="WRU7" s="38"/>
      <c r="WRV7" s="38"/>
      <c r="WRW7" s="38"/>
      <c r="WRX7" s="38"/>
      <c r="WRY7" s="38"/>
      <c r="WRZ7" s="38"/>
      <c r="WSA7" s="38"/>
      <c r="WSB7" s="38"/>
      <c r="WSC7" s="38"/>
      <c r="WSD7" s="38"/>
      <c r="WSE7" s="38"/>
      <c r="WSF7" s="38"/>
      <c r="WSG7" s="38"/>
      <c r="WSH7" s="38"/>
      <c r="WSI7" s="38"/>
      <c r="WSJ7" s="38"/>
      <c r="WSK7" s="38"/>
      <c r="WSL7" s="38"/>
      <c r="WSM7" s="38"/>
      <c r="WSN7" s="38"/>
      <c r="WSO7" s="38"/>
      <c r="WSP7" s="38"/>
      <c r="WSQ7" s="38"/>
      <c r="WSR7" s="38"/>
      <c r="WSS7" s="38"/>
      <c r="WST7" s="38"/>
      <c r="WSU7" s="38"/>
      <c r="WSV7" s="38"/>
      <c r="WSW7" s="38"/>
      <c r="WSX7" s="38"/>
      <c r="WSY7" s="38"/>
      <c r="WSZ7" s="38"/>
      <c r="WTA7" s="38"/>
      <c r="WTB7" s="38"/>
      <c r="WTC7" s="38"/>
      <c r="WTD7" s="38"/>
      <c r="WTE7" s="38"/>
      <c r="WTF7" s="38"/>
      <c r="WTG7" s="38"/>
      <c r="WTH7" s="38"/>
      <c r="WTI7" s="38"/>
      <c r="WTJ7" s="38"/>
      <c r="WTK7" s="38"/>
      <c r="WTL7" s="38"/>
      <c r="WTM7" s="38"/>
      <c r="WTN7" s="38"/>
      <c r="WTO7" s="38"/>
      <c r="WTP7" s="38"/>
      <c r="WTQ7" s="38"/>
      <c r="WTR7" s="38"/>
      <c r="WTS7" s="38"/>
      <c r="WTT7" s="38"/>
      <c r="WTU7" s="38"/>
      <c r="WTV7" s="38"/>
      <c r="WTW7" s="38"/>
      <c r="WTX7" s="38"/>
      <c r="WTY7" s="38"/>
      <c r="WTZ7" s="38"/>
      <c r="WUA7" s="38"/>
      <c r="WUB7" s="38"/>
      <c r="WUC7" s="38"/>
      <c r="WUD7" s="38"/>
      <c r="WUE7" s="38"/>
      <c r="WUF7" s="38"/>
      <c r="WUG7" s="38"/>
      <c r="WUH7" s="38"/>
      <c r="WUI7" s="38"/>
      <c r="WUJ7" s="38"/>
      <c r="WUK7" s="38"/>
      <c r="WUL7" s="38"/>
      <c r="WUM7" s="38"/>
      <c r="WUN7" s="38"/>
      <c r="WUO7" s="38"/>
      <c r="WUP7" s="38"/>
      <c r="WUQ7" s="38"/>
      <c r="WUR7" s="38"/>
      <c r="WUS7" s="38"/>
      <c r="WUT7" s="38"/>
      <c r="WUU7" s="38"/>
      <c r="WUV7" s="38"/>
      <c r="WUW7" s="38"/>
      <c r="WUX7" s="38"/>
      <c r="WUY7" s="38"/>
      <c r="WUZ7" s="38"/>
      <c r="WVA7" s="38"/>
      <c r="WVB7" s="38"/>
      <c r="WVC7" s="38"/>
      <c r="WVD7" s="38"/>
      <c r="WVE7" s="38"/>
      <c r="WVF7" s="38"/>
      <c r="WVG7" s="38"/>
      <c r="WVH7" s="38"/>
      <c r="WVI7" s="38"/>
      <c r="WVJ7" s="38"/>
      <c r="WVK7" s="38"/>
      <c r="WVL7" s="38"/>
      <c r="WVM7" s="38"/>
      <c r="WVN7" s="38"/>
      <c r="WVO7" s="38"/>
      <c r="WVP7" s="38"/>
      <c r="WVQ7" s="38"/>
      <c r="WVR7" s="38"/>
      <c r="WVS7" s="38"/>
      <c r="WVT7" s="38"/>
      <c r="WVU7" s="38"/>
      <c r="WVV7" s="38"/>
      <c r="WVW7" s="38"/>
      <c r="WVX7" s="38"/>
      <c r="WVY7" s="38"/>
      <c r="WVZ7" s="38"/>
      <c r="WWA7" s="38"/>
      <c r="WWB7" s="38"/>
      <c r="WWC7" s="38"/>
      <c r="WWD7" s="38"/>
      <c r="WWE7" s="38"/>
      <c r="WWF7" s="38"/>
      <c r="WWG7" s="38"/>
      <c r="WWH7" s="38"/>
      <c r="WWI7" s="38"/>
      <c r="WWJ7" s="38"/>
      <c r="WWK7" s="38"/>
      <c r="WWL7" s="38"/>
      <c r="WWM7" s="38"/>
      <c r="WWN7" s="38"/>
      <c r="WWO7" s="38"/>
      <c r="WWP7" s="38"/>
      <c r="WWQ7" s="38"/>
      <c r="WWR7" s="38"/>
      <c r="WWS7" s="38"/>
      <c r="WWT7" s="38"/>
      <c r="WWU7" s="38"/>
      <c r="WWV7" s="38"/>
      <c r="WWW7" s="38"/>
      <c r="WWX7" s="38"/>
      <c r="WWY7" s="38"/>
      <c r="WWZ7" s="38"/>
      <c r="WXA7" s="38"/>
      <c r="WXB7" s="38"/>
      <c r="WXC7" s="38"/>
      <c r="WXD7" s="38"/>
      <c r="WXE7" s="38"/>
      <c r="WXF7" s="38"/>
      <c r="WXG7" s="38"/>
      <c r="WXH7" s="38"/>
      <c r="WXI7" s="38"/>
      <c r="WXJ7" s="38"/>
      <c r="WXK7" s="38"/>
      <c r="WXL7" s="38"/>
      <c r="WXM7" s="38"/>
      <c r="WXN7" s="38"/>
      <c r="WXO7" s="38"/>
      <c r="WXP7" s="38"/>
      <c r="WXQ7" s="38"/>
      <c r="WXR7" s="38"/>
      <c r="WXS7" s="38"/>
      <c r="WXT7" s="38"/>
      <c r="WXU7" s="38"/>
      <c r="WXV7" s="38"/>
      <c r="WXW7" s="38"/>
      <c r="WXX7" s="38"/>
      <c r="WXY7" s="38"/>
      <c r="WXZ7" s="38"/>
      <c r="WYA7" s="38"/>
      <c r="WYB7" s="38"/>
      <c r="WYC7" s="38"/>
      <c r="WYD7" s="38"/>
      <c r="WYE7" s="38"/>
      <c r="WYF7" s="38"/>
      <c r="WYG7" s="38"/>
      <c r="WYH7" s="38"/>
      <c r="WYI7" s="38"/>
      <c r="WYJ7" s="38"/>
      <c r="WYK7" s="38"/>
      <c r="WYL7" s="38"/>
      <c r="WYM7" s="38"/>
      <c r="WYN7" s="38"/>
      <c r="WYO7" s="38"/>
      <c r="WYP7" s="38"/>
      <c r="WYQ7" s="38"/>
      <c r="WYR7" s="38"/>
      <c r="WYS7" s="38"/>
      <c r="WYT7" s="38"/>
      <c r="WYU7" s="38"/>
      <c r="WYV7" s="38"/>
      <c r="WYW7" s="38"/>
      <c r="WYX7" s="38"/>
      <c r="WYY7" s="38"/>
      <c r="WYZ7" s="38"/>
      <c r="WZA7" s="38"/>
      <c r="WZB7" s="38"/>
      <c r="WZC7" s="38"/>
      <c r="WZD7" s="38"/>
      <c r="WZE7" s="38"/>
      <c r="WZF7" s="38"/>
      <c r="WZG7" s="38"/>
      <c r="WZH7" s="38"/>
      <c r="WZI7" s="38"/>
      <c r="WZJ7" s="38"/>
      <c r="WZK7" s="38"/>
      <c r="WZL7" s="38"/>
      <c r="WZM7" s="38"/>
      <c r="WZN7" s="38"/>
      <c r="WZO7" s="38"/>
      <c r="WZP7" s="38"/>
      <c r="WZQ7" s="38"/>
      <c r="WZR7" s="38"/>
      <c r="WZS7" s="38"/>
      <c r="WZT7" s="38"/>
      <c r="WZU7" s="38"/>
      <c r="WZV7" s="38"/>
      <c r="WZW7" s="38"/>
      <c r="WZX7" s="38"/>
      <c r="WZY7" s="38"/>
      <c r="WZZ7" s="38"/>
      <c r="XAA7" s="38"/>
      <c r="XAB7" s="38"/>
      <c r="XAC7" s="38"/>
      <c r="XAD7" s="38"/>
      <c r="XAE7" s="38"/>
      <c r="XAF7" s="38"/>
      <c r="XAG7" s="38"/>
      <c r="XAH7" s="38"/>
      <c r="XAI7" s="38"/>
      <c r="XAJ7" s="38"/>
      <c r="XAK7" s="38"/>
      <c r="XAL7" s="38"/>
      <c r="XAM7" s="38"/>
      <c r="XAN7" s="38"/>
      <c r="XAO7" s="38"/>
      <c r="XAP7" s="38"/>
      <c r="XAQ7" s="38"/>
      <c r="XAR7" s="38"/>
      <c r="XAS7" s="38"/>
      <c r="XAT7" s="38"/>
      <c r="XAU7" s="38"/>
      <c r="XAV7" s="38"/>
      <c r="XAW7" s="38"/>
      <c r="XAX7" s="38"/>
      <c r="XAY7" s="38"/>
      <c r="XAZ7" s="38"/>
      <c r="XBA7" s="38"/>
      <c r="XBB7" s="38"/>
      <c r="XBC7" s="38"/>
      <c r="XBD7" s="38"/>
      <c r="XBE7" s="38"/>
      <c r="XBF7" s="38"/>
      <c r="XBG7" s="38"/>
      <c r="XBH7" s="38"/>
      <c r="XBI7" s="38"/>
      <c r="XBJ7" s="38"/>
      <c r="XBK7" s="38"/>
      <c r="XBL7" s="38"/>
      <c r="XBM7" s="38"/>
      <c r="XBN7" s="38"/>
      <c r="XBO7" s="38"/>
      <c r="XBP7" s="38"/>
      <c r="XBQ7" s="38"/>
      <c r="XBR7" s="38"/>
      <c r="XBS7" s="38"/>
      <c r="XBT7" s="38"/>
      <c r="XBU7" s="38"/>
      <c r="XBV7" s="38"/>
      <c r="XBW7" s="38"/>
      <c r="XBX7" s="38"/>
      <c r="XBY7" s="38"/>
      <c r="XBZ7" s="38"/>
      <c r="XCA7" s="38"/>
      <c r="XCB7" s="38"/>
      <c r="XCC7" s="38"/>
      <c r="XCD7" s="38"/>
      <c r="XCE7" s="38"/>
      <c r="XCF7" s="38"/>
      <c r="XCG7" s="38"/>
      <c r="XCH7" s="38"/>
      <c r="XCI7" s="38"/>
      <c r="XCJ7" s="38"/>
      <c r="XCK7" s="38"/>
      <c r="XCL7" s="38"/>
      <c r="XCM7" s="38"/>
      <c r="XCN7" s="38"/>
      <c r="XCO7" s="38"/>
      <c r="XCP7" s="38"/>
      <c r="XCQ7" s="38"/>
      <c r="XCR7" s="38"/>
      <c r="XCS7" s="38"/>
      <c r="XCT7" s="38"/>
      <c r="XCU7" s="38"/>
      <c r="XCV7" s="38"/>
      <c r="XCW7" s="38"/>
      <c r="XCX7" s="38"/>
      <c r="XCY7" s="38"/>
      <c r="XCZ7" s="38"/>
      <c r="XDA7" s="38"/>
      <c r="XDB7" s="38"/>
      <c r="XDC7" s="38"/>
      <c r="XDD7" s="38"/>
      <c r="XDE7" s="38"/>
      <c r="XDF7" s="38"/>
      <c r="XDG7" s="38"/>
      <c r="XDH7" s="38"/>
      <c r="XDI7" s="38"/>
      <c r="XDJ7" s="38"/>
      <c r="XDK7" s="38"/>
      <c r="XDL7" s="38"/>
      <c r="XDM7" s="38"/>
      <c r="XDN7" s="38"/>
      <c r="XDO7" s="38"/>
      <c r="XDP7" s="38"/>
      <c r="XDQ7" s="38"/>
      <c r="XDR7" s="38"/>
      <c r="XDS7" s="38"/>
      <c r="XDT7" s="38"/>
      <c r="XDU7" s="38"/>
      <c r="XDV7" s="38"/>
      <c r="XDW7" s="38"/>
      <c r="XDX7" s="38"/>
      <c r="XDY7" s="38"/>
      <c r="XDZ7" s="38"/>
      <c r="XEA7" s="38"/>
      <c r="XEB7" s="38"/>
      <c r="XEC7" s="38"/>
      <c r="XED7" s="38"/>
      <c r="XEE7" s="38"/>
      <c r="XEF7" s="38"/>
      <c r="XEG7" s="38"/>
      <c r="XEH7" s="38"/>
      <c r="XEI7" s="38"/>
      <c r="XEJ7" s="38"/>
      <c r="XEK7" s="38"/>
      <c r="XEL7" s="38"/>
      <c r="XEM7" s="38"/>
      <c r="XEN7" s="38"/>
      <c r="XEO7" s="38"/>
      <c r="XEP7" s="38"/>
      <c r="XEQ7" s="38"/>
      <c r="XER7" s="38"/>
      <c r="XES7" s="38"/>
    </row>
    <row r="8" spans="1:815 1097:5554 16037:16373" s="3" customFormat="1" x14ac:dyDescent="0.2">
      <c r="A8" s="100">
        <v>1</v>
      </c>
      <c r="B8" s="132" t="s">
        <v>5</v>
      </c>
      <c r="C8" s="187">
        <v>0</v>
      </c>
      <c r="D8" s="188">
        <v>0</v>
      </c>
      <c r="E8" s="188">
        <v>0</v>
      </c>
      <c r="F8" s="187">
        <v>4462600</v>
      </c>
      <c r="G8" s="188">
        <v>4043300</v>
      </c>
      <c r="H8" s="137">
        <f t="shared" ref="H8:H39" si="0">SUM(C8:G8)</f>
        <v>8505900</v>
      </c>
      <c r="I8" s="103"/>
      <c r="J8" s="100">
        <v>1</v>
      </c>
      <c r="K8" s="132" t="s">
        <v>5</v>
      </c>
      <c r="L8" s="187">
        <v>0</v>
      </c>
      <c r="M8" s="188">
        <v>0</v>
      </c>
      <c r="N8" s="188">
        <v>0</v>
      </c>
      <c r="O8" s="187">
        <v>4462600</v>
      </c>
      <c r="P8" s="188">
        <v>4043300</v>
      </c>
      <c r="Q8" s="137">
        <f t="shared" ref="Q8:Q39" si="1">SUM(L8:P8)</f>
        <v>8505900</v>
      </c>
      <c r="R8" s="103"/>
      <c r="S8" s="100">
        <v>1</v>
      </c>
      <c r="T8" s="132" t="s">
        <v>5</v>
      </c>
      <c r="U8" s="187">
        <v>0</v>
      </c>
      <c r="V8" s="188">
        <v>0</v>
      </c>
      <c r="W8" s="188">
        <v>0</v>
      </c>
      <c r="X8" s="187">
        <v>4462600</v>
      </c>
      <c r="Y8" s="188">
        <v>4043300</v>
      </c>
      <c r="Z8" s="137">
        <f t="shared" ref="Z8:Z39" si="2">SUM(U8:Y8)</f>
        <v>8505900</v>
      </c>
      <c r="AA8" s="103"/>
      <c r="AB8" s="100">
        <v>1</v>
      </c>
      <c r="AC8" s="132" t="s">
        <v>5</v>
      </c>
      <c r="AD8" s="131">
        <f>Total!C8-Auszahlungen!C8-Auszahlungen!L8-Auszahlungen!U8</f>
        <v>0</v>
      </c>
      <c r="AE8" s="136">
        <f>Total!D8-Auszahlungen!D8-Auszahlungen!M8-Auszahlungen!V8</f>
        <v>0</v>
      </c>
      <c r="AF8" s="136">
        <f>Total!E8-Auszahlungen!E8-Auszahlungen!N8-Auszahlungen!W8</f>
        <v>0</v>
      </c>
      <c r="AG8" s="131">
        <f>Total!F8-Auszahlungen!F8-Auszahlungen!O8-Auszahlungen!X8</f>
        <v>4471600</v>
      </c>
      <c r="AH8" s="136">
        <f>Total!G8-Auszahlungen!G8-Auszahlungen!P8-Auszahlungen!Y8</f>
        <v>4043200</v>
      </c>
      <c r="AI8" s="137">
        <f t="shared" ref="AI8:AI39" si="3">SUM(AD8:AH8)</f>
        <v>8514800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  <c r="XDK8" s="38"/>
      <c r="XDL8" s="38"/>
      <c r="XDM8" s="38"/>
      <c r="XDN8" s="38"/>
      <c r="XDO8" s="38"/>
      <c r="XDP8" s="38"/>
      <c r="XDQ8" s="38"/>
      <c r="XDR8" s="38"/>
      <c r="XDS8" s="38"/>
      <c r="XDT8" s="38"/>
      <c r="XDU8" s="38"/>
      <c r="XDV8" s="38"/>
      <c r="XDW8" s="38"/>
      <c r="XDX8" s="38"/>
      <c r="XDY8" s="38"/>
      <c r="XDZ8" s="38"/>
      <c r="XEA8" s="38"/>
      <c r="XEB8" s="38"/>
      <c r="XEC8" s="38"/>
      <c r="XED8" s="38"/>
      <c r="XEE8" s="38"/>
      <c r="XEF8" s="38"/>
      <c r="XEG8" s="38"/>
      <c r="XEH8" s="38"/>
      <c r="XEI8" s="38"/>
      <c r="XEJ8" s="38"/>
      <c r="XEK8" s="38"/>
      <c r="XEL8" s="38"/>
      <c r="XEM8" s="38"/>
      <c r="XEN8" s="38"/>
      <c r="XEO8" s="38"/>
      <c r="XEP8" s="38"/>
      <c r="XEQ8" s="38"/>
      <c r="XER8" s="38"/>
      <c r="XES8" s="38"/>
    </row>
    <row r="9" spans="1:815 1097:5554 16037:16373" s="3" customFormat="1" x14ac:dyDescent="0.2">
      <c r="A9" s="101">
        <v>2</v>
      </c>
      <c r="B9" s="133" t="s">
        <v>6</v>
      </c>
      <c r="C9" s="189">
        <v>1271400</v>
      </c>
      <c r="D9" s="190">
        <v>0</v>
      </c>
      <c r="E9" s="190">
        <v>89900</v>
      </c>
      <c r="F9" s="189">
        <v>75600</v>
      </c>
      <c r="G9" s="190">
        <v>0</v>
      </c>
      <c r="H9" s="138">
        <f t="shared" si="0"/>
        <v>1436900</v>
      </c>
      <c r="I9" s="103"/>
      <c r="J9" s="101">
        <v>2</v>
      </c>
      <c r="K9" s="133" t="s">
        <v>6</v>
      </c>
      <c r="L9" s="189">
        <v>1271400</v>
      </c>
      <c r="M9" s="190">
        <v>0</v>
      </c>
      <c r="N9" s="190">
        <v>89900</v>
      </c>
      <c r="O9" s="189">
        <v>75600</v>
      </c>
      <c r="P9" s="190">
        <v>0</v>
      </c>
      <c r="Q9" s="138">
        <f t="shared" si="1"/>
        <v>1436900</v>
      </c>
      <c r="R9" s="103"/>
      <c r="S9" s="101">
        <v>2</v>
      </c>
      <c r="T9" s="133" t="s">
        <v>6</v>
      </c>
      <c r="U9" s="189">
        <v>1271400</v>
      </c>
      <c r="V9" s="190">
        <v>0</v>
      </c>
      <c r="W9" s="190">
        <v>89900</v>
      </c>
      <c r="X9" s="189">
        <v>75600</v>
      </c>
      <c r="Y9" s="190">
        <v>0</v>
      </c>
      <c r="Z9" s="138">
        <f t="shared" si="2"/>
        <v>1436900</v>
      </c>
      <c r="AA9" s="103"/>
      <c r="AB9" s="101">
        <v>2</v>
      </c>
      <c r="AC9" s="133" t="s">
        <v>6</v>
      </c>
      <c r="AD9" s="51">
        <f>Total!C9-Auszahlungen!C9-Auszahlungen!L9-Auszahlungen!U9</f>
        <v>1271500</v>
      </c>
      <c r="AE9" s="116">
        <f>Total!D9-Auszahlungen!D9-Auszahlungen!M9-Auszahlungen!V9</f>
        <v>0</v>
      </c>
      <c r="AF9" s="116">
        <f>Total!E9-Auszahlungen!E9-Auszahlungen!N9-Auszahlungen!W9</f>
        <v>90500</v>
      </c>
      <c r="AG9" s="51">
        <f>Total!F9-Auszahlungen!F9-Auszahlungen!O9-Auszahlungen!X9</f>
        <v>76700</v>
      </c>
      <c r="AH9" s="116">
        <f>Total!G9-Auszahlungen!G9-Auszahlungen!P9-Auszahlungen!Y9</f>
        <v>0</v>
      </c>
      <c r="AI9" s="138">
        <f t="shared" si="3"/>
        <v>1438700</v>
      </c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  <c r="XDK9" s="38"/>
      <c r="XDL9" s="38"/>
      <c r="XDM9" s="38"/>
      <c r="XDN9" s="38"/>
      <c r="XDO9" s="38"/>
      <c r="XDP9" s="38"/>
      <c r="XDQ9" s="38"/>
      <c r="XDR9" s="38"/>
      <c r="XDS9" s="38"/>
      <c r="XDT9" s="38"/>
      <c r="XDU9" s="38"/>
      <c r="XDV9" s="38"/>
      <c r="XDW9" s="38"/>
      <c r="XDX9" s="38"/>
      <c r="XDY9" s="38"/>
      <c r="XDZ9" s="38"/>
      <c r="XEA9" s="38"/>
      <c r="XEB9" s="38"/>
      <c r="XEC9" s="38"/>
      <c r="XED9" s="38"/>
      <c r="XEE9" s="38"/>
      <c r="XEF9" s="38"/>
      <c r="XEG9" s="38"/>
      <c r="XEH9" s="38"/>
      <c r="XEI9" s="38"/>
      <c r="XEJ9" s="38"/>
      <c r="XEK9" s="38"/>
      <c r="XEL9" s="38"/>
      <c r="XEM9" s="38"/>
      <c r="XEN9" s="38"/>
      <c r="XEO9" s="38"/>
      <c r="XEP9" s="38"/>
      <c r="XEQ9" s="38"/>
      <c r="XER9" s="38"/>
      <c r="XES9" s="38"/>
    </row>
    <row r="10" spans="1:815 1097:5554 16037:16373" x14ac:dyDescent="0.2">
      <c r="A10" s="101">
        <v>3</v>
      </c>
      <c r="B10" s="133" t="s">
        <v>7</v>
      </c>
      <c r="C10" s="189">
        <v>213200</v>
      </c>
      <c r="D10" s="190">
        <v>100700</v>
      </c>
      <c r="E10" s="190">
        <v>89400</v>
      </c>
      <c r="F10" s="189">
        <v>0</v>
      </c>
      <c r="G10" s="190">
        <v>0</v>
      </c>
      <c r="H10" s="138">
        <f t="shared" si="0"/>
        <v>403300</v>
      </c>
      <c r="I10" s="102"/>
      <c r="J10" s="101">
        <v>3</v>
      </c>
      <c r="K10" s="133" t="s">
        <v>7</v>
      </c>
      <c r="L10" s="189">
        <v>213200</v>
      </c>
      <c r="M10" s="190">
        <v>100700</v>
      </c>
      <c r="N10" s="190">
        <v>89400</v>
      </c>
      <c r="O10" s="189">
        <v>0</v>
      </c>
      <c r="P10" s="190">
        <v>0</v>
      </c>
      <c r="Q10" s="138">
        <f t="shared" si="1"/>
        <v>403300</v>
      </c>
      <c r="R10" s="102"/>
      <c r="S10" s="101">
        <v>3</v>
      </c>
      <c r="T10" s="133" t="s">
        <v>7</v>
      </c>
      <c r="U10" s="189">
        <v>213200</v>
      </c>
      <c r="V10" s="190">
        <v>100700</v>
      </c>
      <c r="W10" s="190">
        <v>89400</v>
      </c>
      <c r="X10" s="189">
        <v>0</v>
      </c>
      <c r="Y10" s="190">
        <v>0</v>
      </c>
      <c r="Z10" s="138">
        <f t="shared" si="2"/>
        <v>403300</v>
      </c>
      <c r="AA10" s="102"/>
      <c r="AB10" s="101">
        <v>3</v>
      </c>
      <c r="AC10" s="133" t="s">
        <v>7</v>
      </c>
      <c r="AD10" s="51">
        <f>Total!C10-Auszahlungen!C10-Auszahlungen!L10-Auszahlungen!U10</f>
        <v>213200</v>
      </c>
      <c r="AE10" s="116">
        <f>Total!D10-Auszahlungen!D10-Auszahlungen!M10-Auszahlungen!V10</f>
        <v>100800</v>
      </c>
      <c r="AF10" s="116">
        <f>Total!E10-Auszahlungen!E10-Auszahlungen!N10-Auszahlungen!W10</f>
        <v>90100</v>
      </c>
      <c r="AG10" s="51">
        <f>Total!F10-Auszahlungen!F10-Auszahlungen!O10-Auszahlungen!X10</f>
        <v>0</v>
      </c>
      <c r="AH10" s="116">
        <f>Total!G10-Auszahlungen!G10-Auszahlungen!P10-Auszahlungen!Y10</f>
        <v>0</v>
      </c>
      <c r="AI10" s="138">
        <f t="shared" si="3"/>
        <v>404100</v>
      </c>
    </row>
    <row r="11" spans="1:815 1097:5554 16037:16373" x14ac:dyDescent="0.2">
      <c r="A11" s="101">
        <v>4</v>
      </c>
      <c r="B11" s="133" t="s">
        <v>8</v>
      </c>
      <c r="C11" s="189">
        <v>232900</v>
      </c>
      <c r="D11" s="190">
        <v>159200</v>
      </c>
      <c r="E11" s="190">
        <v>47800</v>
      </c>
      <c r="F11" s="189">
        <v>0</v>
      </c>
      <c r="G11" s="190">
        <v>0</v>
      </c>
      <c r="H11" s="138">
        <f t="shared" si="0"/>
        <v>439900</v>
      </c>
      <c r="I11" s="102"/>
      <c r="J11" s="101">
        <v>4</v>
      </c>
      <c r="K11" s="133" t="s">
        <v>8</v>
      </c>
      <c r="L11" s="189">
        <v>232900</v>
      </c>
      <c r="M11" s="190">
        <v>159200</v>
      </c>
      <c r="N11" s="190">
        <v>47800</v>
      </c>
      <c r="O11" s="189">
        <v>0</v>
      </c>
      <c r="P11" s="190">
        <v>0</v>
      </c>
      <c r="Q11" s="138">
        <f t="shared" si="1"/>
        <v>439900</v>
      </c>
      <c r="R11" s="102"/>
      <c r="S11" s="101">
        <v>4</v>
      </c>
      <c r="T11" s="133" t="s">
        <v>8</v>
      </c>
      <c r="U11" s="189">
        <v>232900</v>
      </c>
      <c r="V11" s="190">
        <v>159200</v>
      </c>
      <c r="W11" s="190">
        <v>47800</v>
      </c>
      <c r="X11" s="189">
        <v>0</v>
      </c>
      <c r="Y11" s="190">
        <v>0</v>
      </c>
      <c r="Z11" s="138">
        <f t="shared" si="2"/>
        <v>439900</v>
      </c>
      <c r="AA11" s="102"/>
      <c r="AB11" s="101">
        <v>4</v>
      </c>
      <c r="AC11" s="133" t="s">
        <v>8</v>
      </c>
      <c r="AD11" s="51">
        <f>Total!C11-Auszahlungen!C11-Auszahlungen!L11-Auszahlungen!U11</f>
        <v>232700</v>
      </c>
      <c r="AE11" s="116">
        <f>Total!D11-Auszahlungen!D11-Auszahlungen!M11-Auszahlungen!V11</f>
        <v>159300</v>
      </c>
      <c r="AF11" s="116">
        <f>Total!E11-Auszahlungen!E11-Auszahlungen!N11-Auszahlungen!W11</f>
        <v>48100</v>
      </c>
      <c r="AG11" s="51">
        <f>Total!F11-Auszahlungen!F11-Auszahlungen!O11-Auszahlungen!X11</f>
        <v>0</v>
      </c>
      <c r="AH11" s="116">
        <f>Total!G11-Auszahlungen!G11-Auszahlungen!P11-Auszahlungen!Y11</f>
        <v>0</v>
      </c>
      <c r="AI11" s="138">
        <f t="shared" si="3"/>
        <v>440100</v>
      </c>
    </row>
    <row r="12" spans="1:815 1097:5554 16037:16373" x14ac:dyDescent="0.2">
      <c r="A12" s="101">
        <v>5</v>
      </c>
      <c r="B12" s="133" t="s">
        <v>9</v>
      </c>
      <c r="C12" s="189">
        <v>0</v>
      </c>
      <c r="D12" s="190">
        <v>0</v>
      </c>
      <c r="E12" s="190">
        <v>0</v>
      </c>
      <c r="F12" s="189">
        <v>0</v>
      </c>
      <c r="G12" s="190">
        <v>0</v>
      </c>
      <c r="H12" s="138">
        <f t="shared" si="0"/>
        <v>0</v>
      </c>
      <c r="I12" s="102"/>
      <c r="J12" s="101">
        <v>5</v>
      </c>
      <c r="K12" s="133" t="s">
        <v>9</v>
      </c>
      <c r="L12" s="189">
        <v>0</v>
      </c>
      <c r="M12" s="190">
        <v>0</v>
      </c>
      <c r="N12" s="190">
        <v>0</v>
      </c>
      <c r="O12" s="189">
        <v>0</v>
      </c>
      <c r="P12" s="190">
        <v>0</v>
      </c>
      <c r="Q12" s="138">
        <f t="shared" si="1"/>
        <v>0</v>
      </c>
      <c r="R12" s="102"/>
      <c r="S12" s="101">
        <v>5</v>
      </c>
      <c r="T12" s="133" t="s">
        <v>9</v>
      </c>
      <c r="U12" s="189">
        <v>0</v>
      </c>
      <c r="V12" s="190">
        <v>0</v>
      </c>
      <c r="W12" s="190">
        <v>0</v>
      </c>
      <c r="X12" s="189">
        <v>0</v>
      </c>
      <c r="Y12" s="190">
        <v>0</v>
      </c>
      <c r="Z12" s="138">
        <f t="shared" si="2"/>
        <v>0</v>
      </c>
      <c r="AA12" s="102"/>
      <c r="AB12" s="101">
        <v>5</v>
      </c>
      <c r="AC12" s="133" t="s">
        <v>9</v>
      </c>
      <c r="AD12" s="51">
        <f>Total!C12-Auszahlungen!C12-Auszahlungen!L12-Auszahlungen!U12</f>
        <v>0</v>
      </c>
      <c r="AE12" s="116">
        <f>Total!D12-Auszahlungen!D12-Auszahlungen!M12-Auszahlungen!V12</f>
        <v>0</v>
      </c>
      <c r="AF12" s="116">
        <f>Total!E12-Auszahlungen!E12-Auszahlungen!N12-Auszahlungen!W12</f>
        <v>0</v>
      </c>
      <c r="AG12" s="51">
        <f>Total!F12-Auszahlungen!F12-Auszahlungen!O12-Auszahlungen!X12</f>
        <v>0</v>
      </c>
      <c r="AH12" s="116">
        <f>Total!G12-Auszahlungen!G12-Auszahlungen!P12-Auszahlungen!Y12</f>
        <v>0</v>
      </c>
      <c r="AI12" s="138">
        <f t="shared" si="3"/>
        <v>0</v>
      </c>
    </row>
    <row r="13" spans="1:815 1097:5554 16037:16373" x14ac:dyDescent="0.2">
      <c r="A13" s="101">
        <v>6</v>
      </c>
      <c r="B13" s="133" t="s">
        <v>10</v>
      </c>
      <c r="C13" s="189">
        <v>0</v>
      </c>
      <c r="D13" s="190">
        <v>0</v>
      </c>
      <c r="E13" s="190">
        <v>0</v>
      </c>
      <c r="F13" s="189">
        <v>79700</v>
      </c>
      <c r="G13" s="190">
        <v>0</v>
      </c>
      <c r="H13" s="138">
        <f t="shared" si="0"/>
        <v>79700</v>
      </c>
      <c r="I13" s="102"/>
      <c r="J13" s="101">
        <v>6</v>
      </c>
      <c r="K13" s="133" t="s">
        <v>10</v>
      </c>
      <c r="L13" s="189">
        <v>0</v>
      </c>
      <c r="M13" s="190">
        <v>0</v>
      </c>
      <c r="N13" s="190">
        <v>0</v>
      </c>
      <c r="O13" s="189">
        <v>79700</v>
      </c>
      <c r="P13" s="190">
        <v>0</v>
      </c>
      <c r="Q13" s="138">
        <f t="shared" si="1"/>
        <v>79700</v>
      </c>
      <c r="R13" s="102"/>
      <c r="S13" s="101">
        <v>6</v>
      </c>
      <c r="T13" s="133" t="s">
        <v>10</v>
      </c>
      <c r="U13" s="189">
        <v>0</v>
      </c>
      <c r="V13" s="190">
        <v>0</v>
      </c>
      <c r="W13" s="190">
        <v>0</v>
      </c>
      <c r="X13" s="189">
        <v>79700</v>
      </c>
      <c r="Y13" s="190">
        <v>0</v>
      </c>
      <c r="Z13" s="138">
        <f t="shared" si="2"/>
        <v>79700</v>
      </c>
      <c r="AA13" s="102"/>
      <c r="AB13" s="101">
        <v>6</v>
      </c>
      <c r="AC13" s="133" t="s">
        <v>10</v>
      </c>
      <c r="AD13" s="51">
        <f>Total!C13-Auszahlungen!C13-Auszahlungen!L13-Auszahlungen!U13</f>
        <v>0</v>
      </c>
      <c r="AE13" s="116">
        <f>Total!D13-Auszahlungen!D13-Auszahlungen!M13-Auszahlungen!V13</f>
        <v>0</v>
      </c>
      <c r="AF13" s="116">
        <f>Total!E13-Auszahlungen!E13-Auszahlungen!N13-Auszahlungen!W13</f>
        <v>0</v>
      </c>
      <c r="AG13" s="51">
        <f>Total!F13-Auszahlungen!F13-Auszahlungen!O13-Auszahlungen!X13</f>
        <v>80200</v>
      </c>
      <c r="AH13" s="116">
        <f>Total!G13-Auszahlungen!G13-Auszahlungen!P13-Auszahlungen!Y13</f>
        <v>0</v>
      </c>
      <c r="AI13" s="138">
        <f t="shared" si="3"/>
        <v>80200</v>
      </c>
    </row>
    <row r="14" spans="1:815 1097:5554 16037:16373" x14ac:dyDescent="0.2">
      <c r="A14" s="101">
        <v>7</v>
      </c>
      <c r="B14" s="133" t="s">
        <v>11</v>
      </c>
      <c r="C14" s="189">
        <v>0</v>
      </c>
      <c r="D14" s="190">
        <v>0</v>
      </c>
      <c r="E14" s="190">
        <v>0</v>
      </c>
      <c r="F14" s="189">
        <v>0</v>
      </c>
      <c r="G14" s="190">
        <v>0</v>
      </c>
      <c r="H14" s="138">
        <f t="shared" si="0"/>
        <v>0</v>
      </c>
      <c r="I14" s="102"/>
      <c r="J14" s="101">
        <v>7</v>
      </c>
      <c r="K14" s="133" t="s">
        <v>11</v>
      </c>
      <c r="L14" s="189">
        <v>0</v>
      </c>
      <c r="M14" s="190">
        <v>0</v>
      </c>
      <c r="N14" s="190">
        <v>0</v>
      </c>
      <c r="O14" s="189">
        <v>0</v>
      </c>
      <c r="P14" s="190">
        <v>0</v>
      </c>
      <c r="Q14" s="138">
        <f t="shared" si="1"/>
        <v>0</v>
      </c>
      <c r="R14" s="102"/>
      <c r="S14" s="101">
        <v>7</v>
      </c>
      <c r="T14" s="133" t="s">
        <v>11</v>
      </c>
      <c r="U14" s="189">
        <v>0</v>
      </c>
      <c r="V14" s="190">
        <v>0</v>
      </c>
      <c r="W14" s="190">
        <v>0</v>
      </c>
      <c r="X14" s="189">
        <v>0</v>
      </c>
      <c r="Y14" s="190">
        <v>0</v>
      </c>
      <c r="Z14" s="138">
        <f t="shared" si="2"/>
        <v>0</v>
      </c>
      <c r="AA14" s="102"/>
      <c r="AB14" s="101">
        <v>7</v>
      </c>
      <c r="AC14" s="133" t="s">
        <v>11</v>
      </c>
      <c r="AD14" s="51">
        <f>Total!C14-Auszahlungen!C14-Auszahlungen!L14-Auszahlungen!U14</f>
        <v>0</v>
      </c>
      <c r="AE14" s="116">
        <f>Total!D14-Auszahlungen!D14-Auszahlungen!M14-Auszahlungen!V14</f>
        <v>0</v>
      </c>
      <c r="AF14" s="116">
        <f>Total!E14-Auszahlungen!E14-Auszahlungen!N14-Auszahlungen!W14</f>
        <v>0</v>
      </c>
      <c r="AG14" s="51">
        <f>Total!F14-Auszahlungen!F14-Auszahlungen!O14-Auszahlungen!X14</f>
        <v>0</v>
      </c>
      <c r="AH14" s="116">
        <f>Total!G14-Auszahlungen!G14-Auszahlungen!P14-Auszahlungen!Y14</f>
        <v>0</v>
      </c>
      <c r="AI14" s="138">
        <f t="shared" si="3"/>
        <v>0</v>
      </c>
    </row>
    <row r="15" spans="1:815 1097:5554 16037:16373" x14ac:dyDescent="0.2">
      <c r="A15" s="101">
        <v>8</v>
      </c>
      <c r="B15" s="133" t="s">
        <v>12</v>
      </c>
      <c r="C15" s="189">
        <v>0</v>
      </c>
      <c r="D15" s="190">
        <v>17600</v>
      </c>
      <c r="E15" s="190">
        <v>6400</v>
      </c>
      <c r="F15" s="189">
        <v>0</v>
      </c>
      <c r="G15" s="190">
        <v>0</v>
      </c>
      <c r="H15" s="138">
        <f t="shared" si="0"/>
        <v>24000</v>
      </c>
      <c r="I15" s="102"/>
      <c r="J15" s="101">
        <v>8</v>
      </c>
      <c r="K15" s="133" t="s">
        <v>12</v>
      </c>
      <c r="L15" s="189">
        <v>0</v>
      </c>
      <c r="M15" s="190">
        <v>17600</v>
      </c>
      <c r="N15" s="190">
        <v>6400</v>
      </c>
      <c r="O15" s="189">
        <v>0</v>
      </c>
      <c r="P15" s="190">
        <v>0</v>
      </c>
      <c r="Q15" s="138">
        <f t="shared" si="1"/>
        <v>24000</v>
      </c>
      <c r="R15" s="102"/>
      <c r="S15" s="101">
        <v>8</v>
      </c>
      <c r="T15" s="133" t="s">
        <v>12</v>
      </c>
      <c r="U15" s="189">
        <v>0</v>
      </c>
      <c r="V15" s="190">
        <v>17600</v>
      </c>
      <c r="W15" s="190">
        <v>6400</v>
      </c>
      <c r="X15" s="189">
        <v>0</v>
      </c>
      <c r="Y15" s="190">
        <v>0</v>
      </c>
      <c r="Z15" s="138">
        <f t="shared" si="2"/>
        <v>24000</v>
      </c>
      <c r="AA15" s="102"/>
      <c r="AB15" s="101">
        <v>8</v>
      </c>
      <c r="AC15" s="133" t="s">
        <v>12</v>
      </c>
      <c r="AD15" s="51">
        <f>Total!C15-Auszahlungen!C15-Auszahlungen!L15-Auszahlungen!U15</f>
        <v>0</v>
      </c>
      <c r="AE15" s="116">
        <f>Total!D15-Auszahlungen!D15-Auszahlungen!M15-Auszahlungen!V15</f>
        <v>17500</v>
      </c>
      <c r="AF15" s="116">
        <f>Total!E15-Auszahlungen!E15-Auszahlungen!N15-Auszahlungen!W15</f>
        <v>6400</v>
      </c>
      <c r="AG15" s="51">
        <f>Total!F15-Auszahlungen!F15-Auszahlungen!O15-Auszahlungen!X15</f>
        <v>0</v>
      </c>
      <c r="AH15" s="116">
        <f>Total!G15-Auszahlungen!G15-Auszahlungen!P15-Auszahlungen!Y15</f>
        <v>0</v>
      </c>
      <c r="AI15" s="138">
        <f t="shared" si="3"/>
        <v>23900</v>
      </c>
    </row>
    <row r="16" spans="1:815 1097:5554 16037:16373" x14ac:dyDescent="0.2">
      <c r="A16" s="101">
        <v>9</v>
      </c>
      <c r="B16" s="133" t="s">
        <v>13</v>
      </c>
      <c r="C16" s="189">
        <v>0</v>
      </c>
      <c r="D16" s="190">
        <v>0</v>
      </c>
      <c r="E16" s="190">
        <v>0</v>
      </c>
      <c r="F16" s="189">
        <v>0</v>
      </c>
      <c r="G16" s="190">
        <v>0</v>
      </c>
      <c r="H16" s="138">
        <f t="shared" si="0"/>
        <v>0</v>
      </c>
      <c r="I16" s="102"/>
      <c r="J16" s="101">
        <v>9</v>
      </c>
      <c r="K16" s="133" t="s">
        <v>13</v>
      </c>
      <c r="L16" s="189">
        <v>0</v>
      </c>
      <c r="M16" s="190">
        <v>0</v>
      </c>
      <c r="N16" s="190">
        <v>0</v>
      </c>
      <c r="O16" s="189">
        <v>0</v>
      </c>
      <c r="P16" s="190">
        <v>0</v>
      </c>
      <c r="Q16" s="138">
        <f t="shared" si="1"/>
        <v>0</v>
      </c>
      <c r="R16" s="102"/>
      <c r="S16" s="101">
        <v>9</v>
      </c>
      <c r="T16" s="133" t="s">
        <v>13</v>
      </c>
      <c r="U16" s="189">
        <v>0</v>
      </c>
      <c r="V16" s="190">
        <v>0</v>
      </c>
      <c r="W16" s="190">
        <v>0</v>
      </c>
      <c r="X16" s="189">
        <v>0</v>
      </c>
      <c r="Y16" s="190">
        <v>0</v>
      </c>
      <c r="Z16" s="138">
        <f t="shared" si="2"/>
        <v>0</v>
      </c>
      <c r="AA16" s="102"/>
      <c r="AB16" s="101">
        <v>9</v>
      </c>
      <c r="AC16" s="133" t="s">
        <v>13</v>
      </c>
      <c r="AD16" s="51">
        <f>Total!C16-Auszahlungen!C16-Auszahlungen!L16-Auszahlungen!U16</f>
        <v>0</v>
      </c>
      <c r="AE16" s="116">
        <f>Total!D16-Auszahlungen!D16-Auszahlungen!M16-Auszahlungen!V16</f>
        <v>0</v>
      </c>
      <c r="AF16" s="116">
        <f>Total!E16-Auszahlungen!E16-Auszahlungen!N16-Auszahlungen!W16</f>
        <v>0</v>
      </c>
      <c r="AG16" s="51">
        <f>Total!F16-Auszahlungen!F16-Auszahlungen!O16-Auszahlungen!X16</f>
        <v>0</v>
      </c>
      <c r="AH16" s="116">
        <f>Total!G16-Auszahlungen!G16-Auszahlungen!P16-Auszahlungen!Y16</f>
        <v>0</v>
      </c>
      <c r="AI16" s="138">
        <f t="shared" si="3"/>
        <v>0</v>
      </c>
    </row>
    <row r="17" spans="1:35" x14ac:dyDescent="0.2">
      <c r="A17" s="101">
        <v>10</v>
      </c>
      <c r="B17" s="133" t="s">
        <v>14</v>
      </c>
      <c r="C17" s="189">
        <v>39900</v>
      </c>
      <c r="D17" s="190">
        <v>73100</v>
      </c>
      <c r="E17" s="190">
        <v>70400</v>
      </c>
      <c r="F17" s="189">
        <v>0</v>
      </c>
      <c r="G17" s="190">
        <v>0</v>
      </c>
      <c r="H17" s="138">
        <f t="shared" si="0"/>
        <v>183400</v>
      </c>
      <c r="I17" s="102"/>
      <c r="J17" s="101">
        <v>10</v>
      </c>
      <c r="K17" s="133" t="s">
        <v>14</v>
      </c>
      <c r="L17" s="189">
        <v>39900</v>
      </c>
      <c r="M17" s="190">
        <v>73100</v>
      </c>
      <c r="N17" s="190">
        <v>70400</v>
      </c>
      <c r="O17" s="189">
        <v>0</v>
      </c>
      <c r="P17" s="190">
        <v>0</v>
      </c>
      <c r="Q17" s="138">
        <f t="shared" si="1"/>
        <v>183400</v>
      </c>
      <c r="R17" s="102"/>
      <c r="S17" s="101">
        <v>10</v>
      </c>
      <c r="T17" s="133" t="s">
        <v>14</v>
      </c>
      <c r="U17" s="189">
        <v>39900</v>
      </c>
      <c r="V17" s="190">
        <v>73100</v>
      </c>
      <c r="W17" s="190">
        <v>70400</v>
      </c>
      <c r="X17" s="189">
        <v>0</v>
      </c>
      <c r="Y17" s="190">
        <v>0</v>
      </c>
      <c r="Z17" s="138">
        <f t="shared" si="2"/>
        <v>183400</v>
      </c>
      <c r="AA17" s="102"/>
      <c r="AB17" s="101">
        <v>10</v>
      </c>
      <c r="AC17" s="133" t="s">
        <v>14</v>
      </c>
      <c r="AD17" s="51">
        <f>Total!C17-Auszahlungen!C17-Auszahlungen!L17-Auszahlungen!U17</f>
        <v>39700</v>
      </c>
      <c r="AE17" s="116">
        <f>Total!D17-Auszahlungen!D17-Auszahlungen!M17-Auszahlungen!V17</f>
        <v>73000</v>
      </c>
      <c r="AF17" s="116">
        <f>Total!E17-Auszahlungen!E17-Auszahlungen!N17-Auszahlungen!W17</f>
        <v>70900</v>
      </c>
      <c r="AG17" s="51">
        <f>Total!F17-Auszahlungen!F17-Auszahlungen!O17-Auszahlungen!X17</f>
        <v>0</v>
      </c>
      <c r="AH17" s="116">
        <f>Total!G17-Auszahlungen!G17-Auszahlungen!P17-Auszahlungen!Y17</f>
        <v>0</v>
      </c>
      <c r="AI17" s="138">
        <f t="shared" si="3"/>
        <v>183600</v>
      </c>
    </row>
    <row r="18" spans="1:35" x14ac:dyDescent="0.2">
      <c r="A18" s="101">
        <v>11</v>
      </c>
      <c r="B18" s="133" t="s">
        <v>15</v>
      </c>
      <c r="C18" s="189">
        <v>177600</v>
      </c>
      <c r="D18" s="190">
        <v>158800</v>
      </c>
      <c r="E18" s="190">
        <v>118000</v>
      </c>
      <c r="F18" s="189">
        <v>0</v>
      </c>
      <c r="G18" s="190">
        <v>0</v>
      </c>
      <c r="H18" s="138">
        <f t="shared" si="0"/>
        <v>454400</v>
      </c>
      <c r="I18" s="102"/>
      <c r="J18" s="101">
        <v>11</v>
      </c>
      <c r="K18" s="133" t="s">
        <v>15</v>
      </c>
      <c r="L18" s="189">
        <v>177600</v>
      </c>
      <c r="M18" s="190">
        <v>158800</v>
      </c>
      <c r="N18" s="190">
        <v>118000</v>
      </c>
      <c r="O18" s="189">
        <v>0</v>
      </c>
      <c r="P18" s="190">
        <v>0</v>
      </c>
      <c r="Q18" s="138">
        <f t="shared" si="1"/>
        <v>454400</v>
      </c>
      <c r="R18" s="102"/>
      <c r="S18" s="101">
        <v>11</v>
      </c>
      <c r="T18" s="133" t="s">
        <v>15</v>
      </c>
      <c r="U18" s="189">
        <v>177600</v>
      </c>
      <c r="V18" s="190">
        <v>158800</v>
      </c>
      <c r="W18" s="190">
        <v>118000</v>
      </c>
      <c r="X18" s="189">
        <v>0</v>
      </c>
      <c r="Y18" s="190">
        <v>0</v>
      </c>
      <c r="Z18" s="138">
        <f t="shared" si="2"/>
        <v>454400</v>
      </c>
      <c r="AA18" s="102"/>
      <c r="AB18" s="101">
        <v>11</v>
      </c>
      <c r="AC18" s="133" t="s">
        <v>15</v>
      </c>
      <c r="AD18" s="51">
        <f>Total!C18-Auszahlungen!C18-Auszahlungen!L18-Auszahlungen!U18</f>
        <v>177400</v>
      </c>
      <c r="AE18" s="116">
        <f>Total!D18-Auszahlungen!D18-Auszahlungen!M18-Auszahlungen!V18</f>
        <v>158900</v>
      </c>
      <c r="AF18" s="116">
        <f>Total!E18-Auszahlungen!E18-Auszahlungen!N18-Auszahlungen!W18</f>
        <v>118800</v>
      </c>
      <c r="AG18" s="51">
        <f>Total!F18-Auszahlungen!F18-Auszahlungen!O18-Auszahlungen!X18</f>
        <v>0</v>
      </c>
      <c r="AH18" s="116">
        <f>Total!G18-Auszahlungen!G18-Auszahlungen!P18-Auszahlungen!Y18</f>
        <v>0</v>
      </c>
      <c r="AI18" s="138">
        <f t="shared" si="3"/>
        <v>455100</v>
      </c>
    </row>
    <row r="19" spans="1:35" x14ac:dyDescent="0.2">
      <c r="A19" s="101">
        <v>12</v>
      </c>
      <c r="B19" s="133" t="s">
        <v>16</v>
      </c>
      <c r="C19" s="189">
        <v>0</v>
      </c>
      <c r="D19" s="190">
        <v>0</v>
      </c>
      <c r="E19" s="190">
        <v>0</v>
      </c>
      <c r="F19" s="189">
        <v>0</v>
      </c>
      <c r="G19" s="190">
        <v>0</v>
      </c>
      <c r="H19" s="138">
        <f t="shared" si="0"/>
        <v>0</v>
      </c>
      <c r="I19" s="102"/>
      <c r="J19" s="101">
        <v>12</v>
      </c>
      <c r="K19" s="133" t="s">
        <v>16</v>
      </c>
      <c r="L19" s="189">
        <v>0</v>
      </c>
      <c r="M19" s="190">
        <v>0</v>
      </c>
      <c r="N19" s="190">
        <v>0</v>
      </c>
      <c r="O19" s="189">
        <v>0</v>
      </c>
      <c r="P19" s="190">
        <v>0</v>
      </c>
      <c r="Q19" s="138">
        <f t="shared" si="1"/>
        <v>0</v>
      </c>
      <c r="R19" s="102"/>
      <c r="S19" s="101">
        <v>12</v>
      </c>
      <c r="T19" s="133" t="s">
        <v>16</v>
      </c>
      <c r="U19" s="189">
        <v>0</v>
      </c>
      <c r="V19" s="190">
        <v>0</v>
      </c>
      <c r="W19" s="190">
        <v>0</v>
      </c>
      <c r="X19" s="189">
        <v>0</v>
      </c>
      <c r="Y19" s="190">
        <v>0</v>
      </c>
      <c r="Z19" s="138">
        <f t="shared" si="2"/>
        <v>0</v>
      </c>
      <c r="AA19" s="102"/>
      <c r="AB19" s="101">
        <v>12</v>
      </c>
      <c r="AC19" s="133" t="s">
        <v>16</v>
      </c>
      <c r="AD19" s="51">
        <f>Total!C19-Auszahlungen!C19-Auszahlungen!L19-Auszahlungen!U19</f>
        <v>0</v>
      </c>
      <c r="AE19" s="116">
        <f>Total!D19-Auszahlungen!D19-Auszahlungen!M19-Auszahlungen!V19</f>
        <v>0</v>
      </c>
      <c r="AF19" s="116">
        <f>Total!E19-Auszahlungen!E19-Auszahlungen!N19-Auszahlungen!W19</f>
        <v>0</v>
      </c>
      <c r="AG19" s="51">
        <f>Total!F19-Auszahlungen!F19-Auszahlungen!O19-Auszahlungen!X19</f>
        <v>0</v>
      </c>
      <c r="AH19" s="116">
        <f>Total!G19-Auszahlungen!G19-Auszahlungen!P19-Auszahlungen!Y19</f>
        <v>0</v>
      </c>
      <c r="AI19" s="138">
        <f t="shared" si="3"/>
        <v>0</v>
      </c>
    </row>
    <row r="20" spans="1:35" x14ac:dyDescent="0.2">
      <c r="A20" s="101">
        <v>13</v>
      </c>
      <c r="B20" s="133" t="s">
        <v>17</v>
      </c>
      <c r="C20" s="189">
        <v>1268100</v>
      </c>
      <c r="D20" s="190">
        <v>0</v>
      </c>
      <c r="E20" s="190">
        <v>0</v>
      </c>
      <c r="F20" s="189">
        <v>338600</v>
      </c>
      <c r="G20" s="190">
        <v>0</v>
      </c>
      <c r="H20" s="138">
        <f t="shared" si="0"/>
        <v>1606700</v>
      </c>
      <c r="I20" s="102"/>
      <c r="J20" s="101">
        <v>13</v>
      </c>
      <c r="K20" s="133" t="s">
        <v>17</v>
      </c>
      <c r="L20" s="189">
        <v>1268100</v>
      </c>
      <c r="M20" s="190">
        <v>0</v>
      </c>
      <c r="N20" s="190">
        <v>0</v>
      </c>
      <c r="O20" s="189">
        <v>338600</v>
      </c>
      <c r="P20" s="190">
        <v>0</v>
      </c>
      <c r="Q20" s="138">
        <f t="shared" si="1"/>
        <v>1606700</v>
      </c>
      <c r="R20" s="102"/>
      <c r="S20" s="101">
        <v>13</v>
      </c>
      <c r="T20" s="133" t="s">
        <v>17</v>
      </c>
      <c r="U20" s="189">
        <v>1268100</v>
      </c>
      <c r="V20" s="190">
        <v>0</v>
      </c>
      <c r="W20" s="190">
        <v>0</v>
      </c>
      <c r="X20" s="189">
        <v>338600</v>
      </c>
      <c r="Y20" s="190">
        <v>0</v>
      </c>
      <c r="Z20" s="138">
        <f t="shared" si="2"/>
        <v>1606700</v>
      </c>
      <c r="AA20" s="102"/>
      <c r="AB20" s="101">
        <v>13</v>
      </c>
      <c r="AC20" s="133" t="s">
        <v>17</v>
      </c>
      <c r="AD20" s="51">
        <f>Total!C20-Auszahlungen!C20-Auszahlungen!L20-Auszahlungen!U20</f>
        <v>1268100</v>
      </c>
      <c r="AE20" s="116">
        <f>Total!D20-Auszahlungen!D20-Auszahlungen!M20-Auszahlungen!V20</f>
        <v>0</v>
      </c>
      <c r="AF20" s="116">
        <f>Total!E20-Auszahlungen!E20-Auszahlungen!N20-Auszahlungen!W20</f>
        <v>0</v>
      </c>
      <c r="AG20" s="51">
        <f>Total!F20-Auszahlungen!F20-Auszahlungen!O20-Auszahlungen!X20</f>
        <v>339600</v>
      </c>
      <c r="AH20" s="116">
        <f>Total!G20-Auszahlungen!G20-Auszahlungen!P20-Auszahlungen!Y20</f>
        <v>0</v>
      </c>
      <c r="AI20" s="138">
        <f t="shared" si="3"/>
        <v>1607700</v>
      </c>
    </row>
    <row r="21" spans="1:35" x14ac:dyDescent="0.2">
      <c r="A21" s="101">
        <v>14</v>
      </c>
      <c r="B21" s="133" t="s">
        <v>18</v>
      </c>
      <c r="C21" s="189">
        <v>0</v>
      </c>
      <c r="D21" s="190">
        <v>0</v>
      </c>
      <c r="E21" s="190">
        <v>0</v>
      </c>
      <c r="F21" s="189">
        <v>0</v>
      </c>
      <c r="G21" s="190">
        <v>0</v>
      </c>
      <c r="H21" s="138">
        <f t="shared" si="0"/>
        <v>0</v>
      </c>
      <c r="I21" s="102"/>
      <c r="J21" s="101">
        <v>14</v>
      </c>
      <c r="K21" s="133" t="s">
        <v>18</v>
      </c>
      <c r="L21" s="189">
        <v>0</v>
      </c>
      <c r="M21" s="190">
        <v>0</v>
      </c>
      <c r="N21" s="190">
        <v>0</v>
      </c>
      <c r="O21" s="189">
        <v>0</v>
      </c>
      <c r="P21" s="190">
        <v>0</v>
      </c>
      <c r="Q21" s="138">
        <f t="shared" si="1"/>
        <v>0</v>
      </c>
      <c r="R21" s="102"/>
      <c r="S21" s="101">
        <v>14</v>
      </c>
      <c r="T21" s="133" t="s">
        <v>18</v>
      </c>
      <c r="U21" s="189">
        <v>0</v>
      </c>
      <c r="V21" s="190">
        <v>0</v>
      </c>
      <c r="W21" s="190">
        <v>0</v>
      </c>
      <c r="X21" s="189">
        <v>0</v>
      </c>
      <c r="Y21" s="190">
        <v>0</v>
      </c>
      <c r="Z21" s="138">
        <f t="shared" si="2"/>
        <v>0</v>
      </c>
      <c r="AA21" s="102"/>
      <c r="AB21" s="101">
        <v>14</v>
      </c>
      <c r="AC21" s="133" t="s">
        <v>18</v>
      </c>
      <c r="AD21" s="51">
        <f>Total!C21-Auszahlungen!C21-Auszahlungen!L21-Auszahlungen!U21</f>
        <v>0</v>
      </c>
      <c r="AE21" s="116">
        <f>Total!D21-Auszahlungen!D21-Auszahlungen!M21-Auszahlungen!V21</f>
        <v>0</v>
      </c>
      <c r="AF21" s="116">
        <f>Total!E21-Auszahlungen!E21-Auszahlungen!N21-Auszahlungen!W21</f>
        <v>0</v>
      </c>
      <c r="AG21" s="51">
        <f>Total!F21-Auszahlungen!F21-Auszahlungen!O21-Auszahlungen!X21</f>
        <v>0</v>
      </c>
      <c r="AH21" s="116">
        <f>Total!G21-Auszahlungen!G21-Auszahlungen!P21-Auszahlungen!Y21</f>
        <v>0</v>
      </c>
      <c r="AI21" s="138">
        <f t="shared" si="3"/>
        <v>0</v>
      </c>
    </row>
    <row r="22" spans="1:35" x14ac:dyDescent="0.2">
      <c r="A22" s="101">
        <v>15</v>
      </c>
      <c r="B22" s="133" t="s">
        <v>19</v>
      </c>
      <c r="C22" s="189">
        <v>267100</v>
      </c>
      <c r="D22" s="190">
        <v>0</v>
      </c>
      <c r="E22" s="190">
        <v>0</v>
      </c>
      <c r="F22" s="189">
        <v>69200</v>
      </c>
      <c r="G22" s="190">
        <v>0</v>
      </c>
      <c r="H22" s="138">
        <f t="shared" si="0"/>
        <v>336300</v>
      </c>
      <c r="I22" s="102"/>
      <c r="J22" s="101">
        <v>15</v>
      </c>
      <c r="K22" s="133" t="s">
        <v>19</v>
      </c>
      <c r="L22" s="189">
        <v>267100</v>
      </c>
      <c r="M22" s="190">
        <v>0</v>
      </c>
      <c r="N22" s="190">
        <v>0</v>
      </c>
      <c r="O22" s="189">
        <v>69200</v>
      </c>
      <c r="P22" s="190">
        <v>0</v>
      </c>
      <c r="Q22" s="138">
        <f t="shared" si="1"/>
        <v>336300</v>
      </c>
      <c r="R22" s="102"/>
      <c r="S22" s="101">
        <v>15</v>
      </c>
      <c r="T22" s="133" t="s">
        <v>19</v>
      </c>
      <c r="U22" s="189">
        <v>267100</v>
      </c>
      <c r="V22" s="190">
        <v>0</v>
      </c>
      <c r="W22" s="190">
        <v>0</v>
      </c>
      <c r="X22" s="189">
        <v>69200</v>
      </c>
      <c r="Y22" s="190">
        <v>0</v>
      </c>
      <c r="Z22" s="138">
        <f t="shared" si="2"/>
        <v>336300</v>
      </c>
      <c r="AA22" s="102"/>
      <c r="AB22" s="101">
        <v>15</v>
      </c>
      <c r="AC22" s="133" t="s">
        <v>19</v>
      </c>
      <c r="AD22" s="51">
        <f>Total!C22-Auszahlungen!C22-Auszahlungen!L22-Auszahlungen!U22</f>
        <v>266900</v>
      </c>
      <c r="AE22" s="116">
        <f>Total!D22-Auszahlungen!D22-Auszahlungen!M22-Auszahlungen!V22</f>
        <v>0</v>
      </c>
      <c r="AF22" s="116">
        <f>Total!E22-Auszahlungen!E22-Auszahlungen!N22-Auszahlungen!W22</f>
        <v>0</v>
      </c>
      <c r="AG22" s="51">
        <f>Total!F22-Auszahlungen!F22-Auszahlungen!O22-Auszahlungen!X22</f>
        <v>69600</v>
      </c>
      <c r="AH22" s="116">
        <f>Total!G22-Auszahlungen!G22-Auszahlungen!P22-Auszahlungen!Y22</f>
        <v>0</v>
      </c>
      <c r="AI22" s="138">
        <f t="shared" si="3"/>
        <v>336500</v>
      </c>
    </row>
    <row r="23" spans="1:35" x14ac:dyDescent="0.2">
      <c r="A23" s="101">
        <v>16</v>
      </c>
      <c r="B23" s="133" t="s">
        <v>20</v>
      </c>
      <c r="C23" s="189">
        <v>925900</v>
      </c>
      <c r="D23" s="190">
        <v>0</v>
      </c>
      <c r="E23" s="190">
        <v>1800</v>
      </c>
      <c r="F23" s="189">
        <v>28400</v>
      </c>
      <c r="G23" s="190">
        <v>0</v>
      </c>
      <c r="H23" s="138">
        <f t="shared" si="0"/>
        <v>956100</v>
      </c>
      <c r="I23" s="102"/>
      <c r="J23" s="101">
        <v>16</v>
      </c>
      <c r="K23" s="133" t="s">
        <v>20</v>
      </c>
      <c r="L23" s="189">
        <v>925900</v>
      </c>
      <c r="M23" s="190">
        <v>0</v>
      </c>
      <c r="N23" s="190">
        <v>1800</v>
      </c>
      <c r="O23" s="189">
        <v>28400</v>
      </c>
      <c r="P23" s="190">
        <v>0</v>
      </c>
      <c r="Q23" s="138">
        <f t="shared" si="1"/>
        <v>956100</v>
      </c>
      <c r="R23" s="102"/>
      <c r="S23" s="101">
        <v>16</v>
      </c>
      <c r="T23" s="133" t="s">
        <v>20</v>
      </c>
      <c r="U23" s="189">
        <v>925900</v>
      </c>
      <c r="V23" s="190">
        <v>0</v>
      </c>
      <c r="W23" s="190">
        <v>1800</v>
      </c>
      <c r="X23" s="189">
        <v>28400</v>
      </c>
      <c r="Y23" s="190">
        <v>0</v>
      </c>
      <c r="Z23" s="138">
        <f t="shared" si="2"/>
        <v>956100</v>
      </c>
      <c r="AA23" s="102"/>
      <c r="AB23" s="101">
        <v>16</v>
      </c>
      <c r="AC23" s="133" t="s">
        <v>20</v>
      </c>
      <c r="AD23" s="51">
        <f>Total!C23-Auszahlungen!C23-Auszahlungen!L23-Auszahlungen!U23</f>
        <v>925700</v>
      </c>
      <c r="AE23" s="116">
        <f>Total!D23-Auszahlungen!D23-Auszahlungen!M23-Auszahlungen!V23</f>
        <v>0</v>
      </c>
      <c r="AF23" s="116">
        <f>Total!E23-Auszahlungen!E23-Auszahlungen!N23-Auszahlungen!W23</f>
        <v>1600</v>
      </c>
      <c r="AG23" s="51">
        <f>Total!F23-Auszahlungen!F23-Auszahlungen!O23-Auszahlungen!X23</f>
        <v>28600</v>
      </c>
      <c r="AH23" s="116">
        <f>Total!G23-Auszahlungen!G23-Auszahlungen!P23-Auszahlungen!Y23</f>
        <v>0</v>
      </c>
      <c r="AI23" s="138">
        <f t="shared" si="3"/>
        <v>955900</v>
      </c>
    </row>
    <row r="24" spans="1:35" x14ac:dyDescent="0.2">
      <c r="A24" s="101">
        <v>17</v>
      </c>
      <c r="B24" s="133" t="s">
        <v>21</v>
      </c>
      <c r="C24" s="189">
        <v>0</v>
      </c>
      <c r="D24" s="190">
        <v>0</v>
      </c>
      <c r="E24" s="190">
        <v>0</v>
      </c>
      <c r="F24" s="189">
        <v>13800</v>
      </c>
      <c r="G24" s="190">
        <v>0</v>
      </c>
      <c r="H24" s="138">
        <f t="shared" si="0"/>
        <v>13800</v>
      </c>
      <c r="I24" s="102"/>
      <c r="J24" s="101">
        <v>17</v>
      </c>
      <c r="K24" s="133" t="s">
        <v>21</v>
      </c>
      <c r="L24" s="189">
        <v>0</v>
      </c>
      <c r="M24" s="190">
        <v>0</v>
      </c>
      <c r="N24" s="190">
        <v>0</v>
      </c>
      <c r="O24" s="189">
        <v>13800</v>
      </c>
      <c r="P24" s="190">
        <v>0</v>
      </c>
      <c r="Q24" s="138">
        <f t="shared" si="1"/>
        <v>13800</v>
      </c>
      <c r="R24" s="102"/>
      <c r="S24" s="101">
        <v>17</v>
      </c>
      <c r="T24" s="133" t="s">
        <v>21</v>
      </c>
      <c r="U24" s="189">
        <v>0</v>
      </c>
      <c r="V24" s="190">
        <v>0</v>
      </c>
      <c r="W24" s="190">
        <v>0</v>
      </c>
      <c r="X24" s="189">
        <v>13800</v>
      </c>
      <c r="Y24" s="190">
        <v>0</v>
      </c>
      <c r="Z24" s="138">
        <f t="shared" si="2"/>
        <v>13800</v>
      </c>
      <c r="AA24" s="102"/>
      <c r="AB24" s="101">
        <v>17</v>
      </c>
      <c r="AC24" s="133" t="s">
        <v>21</v>
      </c>
      <c r="AD24" s="51">
        <f>Total!C24-Auszahlungen!C24-Auszahlungen!L24-Auszahlungen!U24</f>
        <v>0</v>
      </c>
      <c r="AE24" s="116">
        <f>Total!D24-Auszahlungen!D24-Auszahlungen!M24-Auszahlungen!V24</f>
        <v>0</v>
      </c>
      <c r="AF24" s="116">
        <f>Total!E24-Auszahlungen!E24-Auszahlungen!N24-Auszahlungen!W24</f>
        <v>0</v>
      </c>
      <c r="AG24" s="51">
        <f>Total!F24-Auszahlungen!F24-Auszahlungen!O24-Auszahlungen!X24</f>
        <v>14400</v>
      </c>
      <c r="AH24" s="116">
        <f>Total!G24-Auszahlungen!G24-Auszahlungen!P24-Auszahlungen!Y24</f>
        <v>0</v>
      </c>
      <c r="AI24" s="138">
        <f t="shared" si="3"/>
        <v>14400</v>
      </c>
    </row>
    <row r="25" spans="1:35" x14ac:dyDescent="0.2">
      <c r="A25" s="101">
        <v>18</v>
      </c>
      <c r="B25" s="133" t="s">
        <v>22</v>
      </c>
      <c r="C25" s="189">
        <v>0</v>
      </c>
      <c r="D25" s="190">
        <v>0</v>
      </c>
      <c r="E25" s="190">
        <v>11000</v>
      </c>
      <c r="F25" s="189">
        <v>4600</v>
      </c>
      <c r="G25" s="190">
        <v>0</v>
      </c>
      <c r="H25" s="138">
        <f t="shared" si="0"/>
        <v>15600</v>
      </c>
      <c r="I25" s="102"/>
      <c r="J25" s="101">
        <v>18</v>
      </c>
      <c r="K25" s="133" t="s">
        <v>22</v>
      </c>
      <c r="L25" s="189">
        <v>0</v>
      </c>
      <c r="M25" s="190">
        <v>0</v>
      </c>
      <c r="N25" s="190">
        <v>11000</v>
      </c>
      <c r="O25" s="189">
        <v>4600</v>
      </c>
      <c r="P25" s="190">
        <v>0</v>
      </c>
      <c r="Q25" s="138">
        <f t="shared" si="1"/>
        <v>15600</v>
      </c>
      <c r="R25" s="102"/>
      <c r="S25" s="101">
        <v>18</v>
      </c>
      <c r="T25" s="133" t="s">
        <v>22</v>
      </c>
      <c r="U25" s="189">
        <v>0</v>
      </c>
      <c r="V25" s="190">
        <v>0</v>
      </c>
      <c r="W25" s="190">
        <v>11000</v>
      </c>
      <c r="X25" s="189">
        <v>4600</v>
      </c>
      <c r="Y25" s="190">
        <v>0</v>
      </c>
      <c r="Z25" s="138">
        <f t="shared" si="2"/>
        <v>15600</v>
      </c>
      <c r="AA25" s="102"/>
      <c r="AB25" s="101">
        <v>18</v>
      </c>
      <c r="AC25" s="133" t="s">
        <v>22</v>
      </c>
      <c r="AD25" s="51">
        <f>Total!C25-Auszahlungen!C25-Auszahlungen!L25-Auszahlungen!U25</f>
        <v>0</v>
      </c>
      <c r="AE25" s="116">
        <f>Total!D25-Auszahlungen!D25-Auszahlungen!M25-Auszahlungen!V25</f>
        <v>0</v>
      </c>
      <c r="AF25" s="116">
        <f>Total!E25-Auszahlungen!E25-Auszahlungen!N25-Auszahlungen!W25</f>
        <v>11200</v>
      </c>
      <c r="AG25" s="51">
        <f>Total!F25-Auszahlungen!F25-Auszahlungen!O25-Auszahlungen!X25</f>
        <v>4600</v>
      </c>
      <c r="AH25" s="116">
        <f>Total!G25-Auszahlungen!G25-Auszahlungen!P25-Auszahlungen!Y25</f>
        <v>0</v>
      </c>
      <c r="AI25" s="138">
        <f t="shared" si="3"/>
        <v>15800</v>
      </c>
    </row>
    <row r="26" spans="1:35" x14ac:dyDescent="0.2">
      <c r="A26" s="101">
        <v>19</v>
      </c>
      <c r="B26" s="133" t="s">
        <v>23</v>
      </c>
      <c r="C26" s="189">
        <v>0</v>
      </c>
      <c r="D26" s="190">
        <v>0</v>
      </c>
      <c r="E26" s="190">
        <v>0</v>
      </c>
      <c r="F26" s="189">
        <v>0</v>
      </c>
      <c r="G26" s="190">
        <v>0</v>
      </c>
      <c r="H26" s="138">
        <f t="shared" si="0"/>
        <v>0</v>
      </c>
      <c r="I26" s="102"/>
      <c r="J26" s="101">
        <v>19</v>
      </c>
      <c r="K26" s="133" t="s">
        <v>23</v>
      </c>
      <c r="L26" s="189">
        <v>0</v>
      </c>
      <c r="M26" s="190">
        <v>0</v>
      </c>
      <c r="N26" s="190">
        <v>0</v>
      </c>
      <c r="O26" s="189">
        <v>0</v>
      </c>
      <c r="P26" s="190">
        <v>0</v>
      </c>
      <c r="Q26" s="138">
        <f t="shared" si="1"/>
        <v>0</v>
      </c>
      <c r="R26" s="102"/>
      <c r="S26" s="101">
        <v>19</v>
      </c>
      <c r="T26" s="133" t="s">
        <v>23</v>
      </c>
      <c r="U26" s="189">
        <v>0</v>
      </c>
      <c r="V26" s="190">
        <v>0</v>
      </c>
      <c r="W26" s="190">
        <v>0</v>
      </c>
      <c r="X26" s="189">
        <v>0</v>
      </c>
      <c r="Y26" s="190">
        <v>0</v>
      </c>
      <c r="Z26" s="138">
        <f t="shared" si="2"/>
        <v>0</v>
      </c>
      <c r="AA26" s="102"/>
      <c r="AB26" s="101">
        <v>19</v>
      </c>
      <c r="AC26" s="133" t="s">
        <v>23</v>
      </c>
      <c r="AD26" s="51">
        <f>Total!C26-Auszahlungen!C26-Auszahlungen!L26-Auszahlungen!U26</f>
        <v>0</v>
      </c>
      <c r="AE26" s="116">
        <f>Total!D26-Auszahlungen!D26-Auszahlungen!M26-Auszahlungen!V26</f>
        <v>0</v>
      </c>
      <c r="AF26" s="116">
        <f>Total!E26-Auszahlungen!E26-Auszahlungen!N26-Auszahlungen!W26</f>
        <v>0</v>
      </c>
      <c r="AG26" s="51">
        <f>Total!F26-Auszahlungen!F26-Auszahlungen!O26-Auszahlungen!X26</f>
        <v>0</v>
      </c>
      <c r="AH26" s="116">
        <f>Total!G26-Auszahlungen!G26-Auszahlungen!P26-Auszahlungen!Y26</f>
        <v>0</v>
      </c>
      <c r="AI26" s="138">
        <f t="shared" si="3"/>
        <v>0</v>
      </c>
    </row>
    <row r="27" spans="1:35" x14ac:dyDescent="0.2">
      <c r="A27" s="101">
        <v>20</v>
      </c>
      <c r="B27" s="133" t="s">
        <v>24</v>
      </c>
      <c r="C27" s="189">
        <v>0</v>
      </c>
      <c r="D27" s="190">
        <v>0</v>
      </c>
      <c r="E27" s="190">
        <v>137100</v>
      </c>
      <c r="F27" s="189">
        <v>0</v>
      </c>
      <c r="G27" s="190">
        <v>0</v>
      </c>
      <c r="H27" s="138">
        <f t="shared" si="0"/>
        <v>137100</v>
      </c>
      <c r="I27" s="102"/>
      <c r="J27" s="101">
        <v>20</v>
      </c>
      <c r="K27" s="133" t="s">
        <v>24</v>
      </c>
      <c r="L27" s="189">
        <v>0</v>
      </c>
      <c r="M27" s="190">
        <v>0</v>
      </c>
      <c r="N27" s="190">
        <v>137100</v>
      </c>
      <c r="O27" s="189">
        <v>0</v>
      </c>
      <c r="P27" s="190">
        <v>0</v>
      </c>
      <c r="Q27" s="138">
        <f t="shared" si="1"/>
        <v>137100</v>
      </c>
      <c r="R27" s="102"/>
      <c r="S27" s="101">
        <v>20</v>
      </c>
      <c r="T27" s="133" t="s">
        <v>24</v>
      </c>
      <c r="U27" s="189">
        <v>0</v>
      </c>
      <c r="V27" s="190">
        <v>0</v>
      </c>
      <c r="W27" s="190">
        <v>137100</v>
      </c>
      <c r="X27" s="189">
        <v>0</v>
      </c>
      <c r="Y27" s="190">
        <v>0</v>
      </c>
      <c r="Z27" s="138">
        <f t="shared" si="2"/>
        <v>137100</v>
      </c>
      <c r="AA27" s="102"/>
      <c r="AB27" s="101">
        <v>20</v>
      </c>
      <c r="AC27" s="133" t="s">
        <v>24</v>
      </c>
      <c r="AD27" s="51">
        <f>Total!C27-Auszahlungen!C27-Auszahlungen!L27-Auszahlungen!U27</f>
        <v>0</v>
      </c>
      <c r="AE27" s="116">
        <f>Total!D27-Auszahlungen!D27-Auszahlungen!M27-Auszahlungen!V27</f>
        <v>0</v>
      </c>
      <c r="AF27" s="116">
        <f>Total!E27-Auszahlungen!E27-Auszahlungen!N27-Auszahlungen!W27</f>
        <v>138300</v>
      </c>
      <c r="AG27" s="51">
        <f>Total!F27-Auszahlungen!F27-Auszahlungen!O27-Auszahlungen!X27</f>
        <v>0</v>
      </c>
      <c r="AH27" s="116">
        <f>Total!G27-Auszahlungen!G27-Auszahlungen!P27-Auszahlungen!Y27</f>
        <v>0</v>
      </c>
      <c r="AI27" s="138">
        <f t="shared" si="3"/>
        <v>138300</v>
      </c>
    </row>
    <row r="28" spans="1:35" x14ac:dyDescent="0.2">
      <c r="A28" s="101">
        <v>21</v>
      </c>
      <c r="B28" s="133" t="s">
        <v>25</v>
      </c>
      <c r="C28" s="189">
        <v>0</v>
      </c>
      <c r="D28" s="190">
        <v>0</v>
      </c>
      <c r="E28" s="190">
        <v>6500</v>
      </c>
      <c r="F28" s="189">
        <v>0</v>
      </c>
      <c r="G28" s="190">
        <v>0</v>
      </c>
      <c r="H28" s="138">
        <f t="shared" si="0"/>
        <v>6500</v>
      </c>
      <c r="I28" s="102"/>
      <c r="J28" s="101">
        <v>21</v>
      </c>
      <c r="K28" s="133" t="s">
        <v>25</v>
      </c>
      <c r="L28" s="189">
        <v>0</v>
      </c>
      <c r="M28" s="190">
        <v>0</v>
      </c>
      <c r="N28" s="190">
        <v>6500</v>
      </c>
      <c r="O28" s="189">
        <v>0</v>
      </c>
      <c r="P28" s="190">
        <v>0</v>
      </c>
      <c r="Q28" s="138">
        <f t="shared" si="1"/>
        <v>6500</v>
      </c>
      <c r="R28" s="102"/>
      <c r="S28" s="101">
        <v>21</v>
      </c>
      <c r="T28" s="133" t="s">
        <v>25</v>
      </c>
      <c r="U28" s="189">
        <v>0</v>
      </c>
      <c r="V28" s="190">
        <v>0</v>
      </c>
      <c r="W28" s="190">
        <v>6500</v>
      </c>
      <c r="X28" s="189">
        <v>0</v>
      </c>
      <c r="Y28" s="190">
        <v>0</v>
      </c>
      <c r="Z28" s="138">
        <f t="shared" si="2"/>
        <v>6500</v>
      </c>
      <c r="AA28" s="102"/>
      <c r="AB28" s="101">
        <v>21</v>
      </c>
      <c r="AC28" s="133" t="s">
        <v>25</v>
      </c>
      <c r="AD28" s="51">
        <f>Total!C28-Auszahlungen!C28-Auszahlungen!L28-Auszahlungen!U28</f>
        <v>0</v>
      </c>
      <c r="AE28" s="116">
        <f>Total!D28-Auszahlungen!D28-Auszahlungen!M28-Auszahlungen!V28</f>
        <v>0</v>
      </c>
      <c r="AF28" s="116">
        <f>Total!E28-Auszahlungen!E28-Auszahlungen!N28-Auszahlungen!W28</f>
        <v>6400</v>
      </c>
      <c r="AG28" s="51">
        <f>Total!F28-Auszahlungen!F28-Auszahlungen!O28-Auszahlungen!X28</f>
        <v>0</v>
      </c>
      <c r="AH28" s="116">
        <f>Total!G28-Auszahlungen!G28-Auszahlungen!P28-Auszahlungen!Y28</f>
        <v>0</v>
      </c>
      <c r="AI28" s="138">
        <f t="shared" si="3"/>
        <v>6400</v>
      </c>
    </row>
    <row r="29" spans="1:35" x14ac:dyDescent="0.2">
      <c r="A29" s="101">
        <v>22</v>
      </c>
      <c r="B29" s="133" t="s">
        <v>26</v>
      </c>
      <c r="C29" s="189">
        <v>196600</v>
      </c>
      <c r="D29" s="190">
        <v>0</v>
      </c>
      <c r="E29" s="190">
        <v>0</v>
      </c>
      <c r="F29" s="189">
        <v>24900</v>
      </c>
      <c r="G29" s="190">
        <v>0</v>
      </c>
      <c r="H29" s="138">
        <f t="shared" si="0"/>
        <v>221500</v>
      </c>
      <c r="I29" s="102"/>
      <c r="J29" s="101">
        <v>22</v>
      </c>
      <c r="K29" s="133" t="s">
        <v>26</v>
      </c>
      <c r="L29" s="189">
        <v>196600</v>
      </c>
      <c r="M29" s="190">
        <v>0</v>
      </c>
      <c r="N29" s="190">
        <v>0</v>
      </c>
      <c r="O29" s="189">
        <v>24900</v>
      </c>
      <c r="P29" s="190">
        <v>0</v>
      </c>
      <c r="Q29" s="138">
        <f t="shared" si="1"/>
        <v>221500</v>
      </c>
      <c r="R29" s="102"/>
      <c r="S29" s="101">
        <v>22</v>
      </c>
      <c r="T29" s="133" t="s">
        <v>26</v>
      </c>
      <c r="U29" s="189">
        <v>196600</v>
      </c>
      <c r="V29" s="190">
        <v>0</v>
      </c>
      <c r="W29" s="190">
        <v>0</v>
      </c>
      <c r="X29" s="189">
        <v>24900</v>
      </c>
      <c r="Y29" s="190">
        <v>0</v>
      </c>
      <c r="Z29" s="138">
        <f t="shared" si="2"/>
        <v>221500</v>
      </c>
      <c r="AA29" s="102"/>
      <c r="AB29" s="101">
        <v>22</v>
      </c>
      <c r="AC29" s="133" t="s">
        <v>26</v>
      </c>
      <c r="AD29" s="51">
        <f>Total!C29-Auszahlungen!C29-Auszahlungen!L29-Auszahlungen!U29</f>
        <v>196400</v>
      </c>
      <c r="AE29" s="116">
        <f>Total!D29-Auszahlungen!D29-Auszahlungen!M29-Auszahlungen!V29</f>
        <v>0</v>
      </c>
      <c r="AF29" s="116">
        <f>Total!E29-Auszahlungen!E29-Auszahlungen!N29-Auszahlungen!W29</f>
        <v>0</v>
      </c>
      <c r="AG29" s="51">
        <f>Total!F29-Auszahlungen!F29-Auszahlungen!O29-Auszahlungen!X29</f>
        <v>25200</v>
      </c>
      <c r="AH29" s="116">
        <f>Total!G29-Auszahlungen!G29-Auszahlungen!P29-Auszahlungen!Y29</f>
        <v>0</v>
      </c>
      <c r="AI29" s="138">
        <f t="shared" si="3"/>
        <v>221600</v>
      </c>
    </row>
    <row r="30" spans="1:35" x14ac:dyDescent="0.2">
      <c r="A30" s="101">
        <v>23</v>
      </c>
      <c r="B30" s="133" t="s">
        <v>27</v>
      </c>
      <c r="C30" s="189">
        <v>187600</v>
      </c>
      <c r="D30" s="190">
        <v>34700</v>
      </c>
      <c r="E30" s="190">
        <v>69200</v>
      </c>
      <c r="F30" s="189">
        <v>0</v>
      </c>
      <c r="G30" s="190">
        <v>0</v>
      </c>
      <c r="H30" s="138">
        <f t="shared" si="0"/>
        <v>291500</v>
      </c>
      <c r="I30" s="102"/>
      <c r="J30" s="101">
        <v>23</v>
      </c>
      <c r="K30" s="133" t="s">
        <v>27</v>
      </c>
      <c r="L30" s="189">
        <v>187600</v>
      </c>
      <c r="M30" s="190">
        <v>34700</v>
      </c>
      <c r="N30" s="190">
        <v>69200</v>
      </c>
      <c r="O30" s="189">
        <v>0</v>
      </c>
      <c r="P30" s="190">
        <v>0</v>
      </c>
      <c r="Q30" s="138">
        <f t="shared" si="1"/>
        <v>291500</v>
      </c>
      <c r="R30" s="102"/>
      <c r="S30" s="101">
        <v>23</v>
      </c>
      <c r="T30" s="133" t="s">
        <v>27</v>
      </c>
      <c r="U30" s="189">
        <v>187600</v>
      </c>
      <c r="V30" s="190">
        <v>34700</v>
      </c>
      <c r="W30" s="190">
        <v>69200</v>
      </c>
      <c r="X30" s="189">
        <v>0</v>
      </c>
      <c r="Y30" s="190">
        <v>0</v>
      </c>
      <c r="Z30" s="138">
        <f t="shared" si="2"/>
        <v>291500</v>
      </c>
      <c r="AA30" s="102"/>
      <c r="AB30" s="101">
        <v>23</v>
      </c>
      <c r="AC30" s="133" t="s">
        <v>27</v>
      </c>
      <c r="AD30" s="51">
        <f>Total!C30-Auszahlungen!C30-Auszahlungen!L30-Auszahlungen!U30</f>
        <v>187400</v>
      </c>
      <c r="AE30" s="116">
        <f>Total!D30-Auszahlungen!D30-Auszahlungen!M30-Auszahlungen!V30</f>
        <v>34500</v>
      </c>
      <c r="AF30" s="116">
        <f>Total!E30-Auszahlungen!E30-Auszahlungen!N30-Auszahlungen!W30</f>
        <v>69600</v>
      </c>
      <c r="AG30" s="51">
        <f>Total!F30-Auszahlungen!F30-Auszahlungen!O30-Auszahlungen!X30</f>
        <v>0</v>
      </c>
      <c r="AH30" s="116">
        <f>Total!G30-Auszahlungen!G30-Auszahlungen!P30-Auszahlungen!Y30</f>
        <v>0</v>
      </c>
      <c r="AI30" s="138">
        <f t="shared" si="3"/>
        <v>291500</v>
      </c>
    </row>
    <row r="31" spans="1:35" x14ac:dyDescent="0.2">
      <c r="A31" s="101">
        <v>24</v>
      </c>
      <c r="B31" s="133" t="s">
        <v>28</v>
      </c>
      <c r="C31" s="189">
        <v>13000</v>
      </c>
      <c r="D31" s="190">
        <v>267200</v>
      </c>
      <c r="E31" s="190">
        <v>0</v>
      </c>
      <c r="F31" s="189">
        <v>33900</v>
      </c>
      <c r="G31" s="190">
        <v>0</v>
      </c>
      <c r="H31" s="138">
        <f t="shared" si="0"/>
        <v>314100</v>
      </c>
      <c r="I31" s="102"/>
      <c r="J31" s="101">
        <v>24</v>
      </c>
      <c r="K31" s="133" t="s">
        <v>28</v>
      </c>
      <c r="L31" s="189">
        <v>13000</v>
      </c>
      <c r="M31" s="190">
        <v>267200</v>
      </c>
      <c r="N31" s="190">
        <v>0</v>
      </c>
      <c r="O31" s="189">
        <v>33900</v>
      </c>
      <c r="P31" s="190">
        <v>0</v>
      </c>
      <c r="Q31" s="138">
        <f t="shared" si="1"/>
        <v>314100</v>
      </c>
      <c r="R31" s="102"/>
      <c r="S31" s="101">
        <v>24</v>
      </c>
      <c r="T31" s="133" t="s">
        <v>28</v>
      </c>
      <c r="U31" s="189">
        <v>13000</v>
      </c>
      <c r="V31" s="190">
        <v>267200</v>
      </c>
      <c r="W31" s="190">
        <v>0</v>
      </c>
      <c r="X31" s="189">
        <v>33900</v>
      </c>
      <c r="Y31" s="190">
        <v>0</v>
      </c>
      <c r="Z31" s="138">
        <f t="shared" si="2"/>
        <v>314100</v>
      </c>
      <c r="AA31" s="102"/>
      <c r="AB31" s="101">
        <v>24</v>
      </c>
      <c r="AC31" s="133" t="s">
        <v>28</v>
      </c>
      <c r="AD31" s="51">
        <f>Total!C31-Auszahlungen!C31-Auszahlungen!L31-Auszahlungen!U31</f>
        <v>12900</v>
      </c>
      <c r="AE31" s="116">
        <f>Total!D31-Auszahlungen!D31-Auszahlungen!M31-Auszahlungen!V31</f>
        <v>267300</v>
      </c>
      <c r="AF31" s="116">
        <f>Total!E31-Auszahlungen!E31-Auszahlungen!N31-Auszahlungen!W31</f>
        <v>0</v>
      </c>
      <c r="AG31" s="51">
        <f>Total!F31-Auszahlungen!F31-Auszahlungen!O31-Auszahlungen!X31</f>
        <v>34200</v>
      </c>
      <c r="AH31" s="116">
        <f>Total!G31-Auszahlungen!G31-Auszahlungen!P31-Auszahlungen!Y31</f>
        <v>0</v>
      </c>
      <c r="AI31" s="138">
        <f t="shared" si="3"/>
        <v>314400</v>
      </c>
    </row>
    <row r="32" spans="1:35" x14ac:dyDescent="0.2">
      <c r="A32" s="101">
        <v>25</v>
      </c>
      <c r="B32" s="133" t="s">
        <v>29</v>
      </c>
      <c r="C32" s="189">
        <v>225500</v>
      </c>
      <c r="D32" s="190">
        <v>61500</v>
      </c>
      <c r="E32" s="190">
        <v>69400</v>
      </c>
      <c r="F32" s="189">
        <v>0</v>
      </c>
      <c r="G32" s="190">
        <v>0</v>
      </c>
      <c r="H32" s="138">
        <f t="shared" si="0"/>
        <v>356400</v>
      </c>
      <c r="I32" s="102"/>
      <c r="J32" s="101">
        <v>25</v>
      </c>
      <c r="K32" s="133" t="s">
        <v>29</v>
      </c>
      <c r="L32" s="189">
        <v>225500</v>
      </c>
      <c r="M32" s="190">
        <v>61500</v>
      </c>
      <c r="N32" s="190">
        <v>69400</v>
      </c>
      <c r="O32" s="189">
        <v>0</v>
      </c>
      <c r="P32" s="190">
        <v>0</v>
      </c>
      <c r="Q32" s="138">
        <f t="shared" si="1"/>
        <v>356400</v>
      </c>
      <c r="R32" s="102"/>
      <c r="S32" s="101">
        <v>25</v>
      </c>
      <c r="T32" s="133" t="s">
        <v>29</v>
      </c>
      <c r="U32" s="189">
        <v>225500</v>
      </c>
      <c r="V32" s="190">
        <v>61500</v>
      </c>
      <c r="W32" s="190">
        <v>69400</v>
      </c>
      <c r="X32" s="189">
        <v>0</v>
      </c>
      <c r="Y32" s="190">
        <v>0</v>
      </c>
      <c r="Z32" s="138">
        <f t="shared" si="2"/>
        <v>356400</v>
      </c>
      <c r="AA32" s="102"/>
      <c r="AB32" s="101">
        <v>25</v>
      </c>
      <c r="AC32" s="133" t="s">
        <v>29</v>
      </c>
      <c r="AD32" s="51">
        <f>Total!C32-Auszahlungen!C32-Auszahlungen!L32-Auszahlungen!U32</f>
        <v>225600</v>
      </c>
      <c r="AE32" s="116">
        <f>Total!D32-Auszahlungen!D32-Auszahlungen!M32-Auszahlungen!V32</f>
        <v>61500</v>
      </c>
      <c r="AF32" s="116">
        <f>Total!E32-Auszahlungen!E32-Auszahlungen!N32-Auszahlungen!W32</f>
        <v>69700</v>
      </c>
      <c r="AG32" s="51">
        <f>Total!F32-Auszahlungen!F32-Auszahlungen!O32-Auszahlungen!X32</f>
        <v>0</v>
      </c>
      <c r="AH32" s="116">
        <f>Total!G32-Auszahlungen!G32-Auszahlungen!P32-Auszahlungen!Y32</f>
        <v>0</v>
      </c>
      <c r="AI32" s="138">
        <f t="shared" si="3"/>
        <v>356800</v>
      </c>
    </row>
    <row r="33" spans="1:35" x14ac:dyDescent="0.2">
      <c r="A33" s="101">
        <v>26</v>
      </c>
      <c r="B33" s="133" t="s">
        <v>30</v>
      </c>
      <c r="C33" s="189">
        <v>229100</v>
      </c>
      <c r="D33" s="190">
        <v>370700</v>
      </c>
      <c r="E33" s="190">
        <v>263900</v>
      </c>
      <c r="F33" s="189">
        <v>0</v>
      </c>
      <c r="G33" s="190">
        <v>0</v>
      </c>
      <c r="H33" s="138">
        <f t="shared" si="0"/>
        <v>863700</v>
      </c>
      <c r="I33" s="102"/>
      <c r="J33" s="101">
        <v>26</v>
      </c>
      <c r="K33" s="133" t="s">
        <v>30</v>
      </c>
      <c r="L33" s="189">
        <v>229100</v>
      </c>
      <c r="M33" s="190">
        <v>370700</v>
      </c>
      <c r="N33" s="190">
        <v>263900</v>
      </c>
      <c r="O33" s="189">
        <v>0</v>
      </c>
      <c r="P33" s="190">
        <v>0</v>
      </c>
      <c r="Q33" s="138">
        <f t="shared" si="1"/>
        <v>863700</v>
      </c>
      <c r="R33" s="102"/>
      <c r="S33" s="101">
        <v>26</v>
      </c>
      <c r="T33" s="133" t="s">
        <v>30</v>
      </c>
      <c r="U33" s="189">
        <v>229100</v>
      </c>
      <c r="V33" s="190">
        <v>370700</v>
      </c>
      <c r="W33" s="190">
        <v>263900</v>
      </c>
      <c r="X33" s="189">
        <v>0</v>
      </c>
      <c r="Y33" s="190">
        <v>0</v>
      </c>
      <c r="Z33" s="138">
        <f t="shared" si="2"/>
        <v>863700</v>
      </c>
      <c r="AA33" s="102"/>
      <c r="AB33" s="101">
        <v>26</v>
      </c>
      <c r="AC33" s="133" t="s">
        <v>30</v>
      </c>
      <c r="AD33" s="51">
        <f>Total!C33-Auszahlungen!C33-Auszahlungen!L33-Auszahlungen!U33</f>
        <v>229200</v>
      </c>
      <c r="AE33" s="116">
        <f>Total!D33-Auszahlungen!D33-Auszahlungen!M33-Auszahlungen!V33</f>
        <v>370500</v>
      </c>
      <c r="AF33" s="116">
        <f>Total!E33-Auszahlungen!E33-Auszahlungen!N33-Auszahlungen!W33</f>
        <v>266100</v>
      </c>
      <c r="AG33" s="51">
        <f>Total!F33-Auszahlungen!F33-Auszahlungen!O33-Auszahlungen!X33</f>
        <v>0</v>
      </c>
      <c r="AH33" s="116">
        <f>Total!G33-Auszahlungen!G33-Auszahlungen!P33-Auszahlungen!Y33</f>
        <v>0</v>
      </c>
      <c r="AI33" s="138">
        <f t="shared" si="3"/>
        <v>865800</v>
      </c>
    </row>
    <row r="34" spans="1:35" x14ac:dyDescent="0.2">
      <c r="A34" s="101">
        <v>27</v>
      </c>
      <c r="B34" s="133" t="s">
        <v>31</v>
      </c>
      <c r="C34" s="189">
        <v>268600</v>
      </c>
      <c r="D34" s="190">
        <v>74700</v>
      </c>
      <c r="E34" s="190">
        <v>115900</v>
      </c>
      <c r="F34" s="189">
        <v>0</v>
      </c>
      <c r="G34" s="190">
        <v>0</v>
      </c>
      <c r="H34" s="138">
        <f t="shared" si="0"/>
        <v>459200</v>
      </c>
      <c r="I34" s="102"/>
      <c r="J34" s="101">
        <v>27</v>
      </c>
      <c r="K34" s="133" t="s">
        <v>31</v>
      </c>
      <c r="L34" s="189">
        <v>268600</v>
      </c>
      <c r="M34" s="190">
        <v>74700</v>
      </c>
      <c r="N34" s="190">
        <v>115900</v>
      </c>
      <c r="O34" s="189">
        <v>0</v>
      </c>
      <c r="P34" s="190">
        <v>0</v>
      </c>
      <c r="Q34" s="138">
        <f t="shared" si="1"/>
        <v>459200</v>
      </c>
      <c r="R34" s="102"/>
      <c r="S34" s="101">
        <v>27</v>
      </c>
      <c r="T34" s="133" t="s">
        <v>31</v>
      </c>
      <c r="U34" s="189">
        <v>268600</v>
      </c>
      <c r="V34" s="190">
        <v>74700</v>
      </c>
      <c r="W34" s="190">
        <v>115900</v>
      </c>
      <c r="X34" s="189">
        <v>0</v>
      </c>
      <c r="Y34" s="190">
        <v>0</v>
      </c>
      <c r="Z34" s="138">
        <f t="shared" si="2"/>
        <v>459200</v>
      </c>
      <c r="AA34" s="102"/>
      <c r="AB34" s="101">
        <v>27</v>
      </c>
      <c r="AC34" s="133" t="s">
        <v>31</v>
      </c>
      <c r="AD34" s="51">
        <f>Total!C34-Auszahlungen!C34-Auszahlungen!L34-Auszahlungen!U34</f>
        <v>268500</v>
      </c>
      <c r="AE34" s="116">
        <f>Total!D34-Auszahlungen!D34-Auszahlungen!M34-Auszahlungen!V34</f>
        <v>74800</v>
      </c>
      <c r="AF34" s="116">
        <f>Total!E34-Auszahlungen!E34-Auszahlungen!N34-Auszahlungen!W34</f>
        <v>116700</v>
      </c>
      <c r="AG34" s="51">
        <f>Total!F34-Auszahlungen!F34-Auszahlungen!O34-Auszahlungen!X34</f>
        <v>0</v>
      </c>
      <c r="AH34" s="116">
        <f>Total!G34-Auszahlungen!G34-Auszahlungen!P34-Auszahlungen!Y34</f>
        <v>0</v>
      </c>
      <c r="AI34" s="138">
        <f t="shared" si="3"/>
        <v>460000</v>
      </c>
    </row>
    <row r="35" spans="1:35" x14ac:dyDescent="0.2">
      <c r="A35" s="101">
        <v>28</v>
      </c>
      <c r="B35" s="133" t="s">
        <v>32</v>
      </c>
      <c r="C35" s="189">
        <v>0</v>
      </c>
      <c r="D35" s="190">
        <v>0</v>
      </c>
      <c r="E35" s="190">
        <v>0</v>
      </c>
      <c r="F35" s="189">
        <v>0</v>
      </c>
      <c r="G35" s="190">
        <v>0</v>
      </c>
      <c r="H35" s="138">
        <f t="shared" si="0"/>
        <v>0</v>
      </c>
      <c r="I35" s="102"/>
      <c r="J35" s="101">
        <v>28</v>
      </c>
      <c r="K35" s="133" t="s">
        <v>32</v>
      </c>
      <c r="L35" s="189">
        <v>0</v>
      </c>
      <c r="M35" s="190">
        <v>0</v>
      </c>
      <c r="N35" s="190">
        <v>0</v>
      </c>
      <c r="O35" s="189">
        <v>0</v>
      </c>
      <c r="P35" s="190">
        <v>0</v>
      </c>
      <c r="Q35" s="138">
        <f t="shared" si="1"/>
        <v>0</v>
      </c>
      <c r="R35" s="102"/>
      <c r="S35" s="101">
        <v>28</v>
      </c>
      <c r="T35" s="133" t="s">
        <v>32</v>
      </c>
      <c r="U35" s="189">
        <v>0</v>
      </c>
      <c r="V35" s="190">
        <v>0</v>
      </c>
      <c r="W35" s="190">
        <v>0</v>
      </c>
      <c r="X35" s="189">
        <v>0</v>
      </c>
      <c r="Y35" s="190">
        <v>0</v>
      </c>
      <c r="Z35" s="138">
        <f t="shared" si="2"/>
        <v>0</v>
      </c>
      <c r="AA35" s="102"/>
      <c r="AB35" s="101">
        <v>28</v>
      </c>
      <c r="AC35" s="133" t="s">
        <v>32</v>
      </c>
      <c r="AD35" s="51">
        <f>Total!C35-Auszahlungen!C35-Auszahlungen!L35-Auszahlungen!U35</f>
        <v>0</v>
      </c>
      <c r="AE35" s="116">
        <f>Total!D35-Auszahlungen!D35-Auszahlungen!M35-Auszahlungen!V35</f>
        <v>0</v>
      </c>
      <c r="AF35" s="116">
        <f>Total!E35-Auszahlungen!E35-Auszahlungen!N35-Auszahlungen!W35</f>
        <v>0</v>
      </c>
      <c r="AG35" s="51">
        <f>Total!F35-Auszahlungen!F35-Auszahlungen!O35-Auszahlungen!X35</f>
        <v>0</v>
      </c>
      <c r="AH35" s="116">
        <f>Total!G35-Auszahlungen!G35-Auszahlungen!P35-Auszahlungen!Y35</f>
        <v>0</v>
      </c>
      <c r="AI35" s="138">
        <f t="shared" si="3"/>
        <v>0</v>
      </c>
    </row>
    <row r="36" spans="1:35" x14ac:dyDescent="0.2">
      <c r="A36" s="101">
        <v>29</v>
      </c>
      <c r="B36" s="133" t="s">
        <v>33</v>
      </c>
      <c r="C36" s="189">
        <v>487300</v>
      </c>
      <c r="D36" s="190">
        <v>116800</v>
      </c>
      <c r="E36" s="190">
        <v>43500</v>
      </c>
      <c r="F36" s="189">
        <v>0</v>
      </c>
      <c r="G36" s="190">
        <v>0</v>
      </c>
      <c r="H36" s="138">
        <f t="shared" si="0"/>
        <v>647600</v>
      </c>
      <c r="I36" s="102"/>
      <c r="J36" s="101">
        <v>29</v>
      </c>
      <c r="K36" s="133" t="s">
        <v>33</v>
      </c>
      <c r="L36" s="189">
        <v>487300</v>
      </c>
      <c r="M36" s="190">
        <v>116800</v>
      </c>
      <c r="N36" s="190">
        <v>43500</v>
      </c>
      <c r="O36" s="189">
        <v>0</v>
      </c>
      <c r="P36" s="190">
        <v>0</v>
      </c>
      <c r="Q36" s="138">
        <f t="shared" si="1"/>
        <v>647600</v>
      </c>
      <c r="R36" s="102"/>
      <c r="S36" s="101">
        <v>29</v>
      </c>
      <c r="T36" s="133" t="s">
        <v>33</v>
      </c>
      <c r="U36" s="189">
        <v>487300</v>
      </c>
      <c r="V36" s="190">
        <v>116800</v>
      </c>
      <c r="W36" s="190">
        <v>43500</v>
      </c>
      <c r="X36" s="189">
        <v>0</v>
      </c>
      <c r="Y36" s="190">
        <v>0</v>
      </c>
      <c r="Z36" s="138">
        <f t="shared" si="2"/>
        <v>647600</v>
      </c>
      <c r="AA36" s="102"/>
      <c r="AB36" s="101">
        <v>29</v>
      </c>
      <c r="AC36" s="133" t="s">
        <v>33</v>
      </c>
      <c r="AD36" s="51">
        <f>Total!C36-Auszahlungen!C36-Auszahlungen!L36-Auszahlungen!U36</f>
        <v>487200</v>
      </c>
      <c r="AE36" s="116">
        <f>Total!D36-Auszahlungen!D36-Auszahlungen!M36-Auszahlungen!V36</f>
        <v>116800</v>
      </c>
      <c r="AF36" s="116">
        <f>Total!E36-Auszahlungen!E36-Auszahlungen!N36-Auszahlungen!W36</f>
        <v>43900</v>
      </c>
      <c r="AG36" s="51">
        <f>Total!F36-Auszahlungen!F36-Auszahlungen!O36-Auszahlungen!X36</f>
        <v>0</v>
      </c>
      <c r="AH36" s="116">
        <f>Total!G36-Auszahlungen!G36-Auszahlungen!P36-Auszahlungen!Y36</f>
        <v>0</v>
      </c>
      <c r="AI36" s="138">
        <f t="shared" si="3"/>
        <v>647900</v>
      </c>
    </row>
    <row r="37" spans="1:35" x14ac:dyDescent="0.2">
      <c r="A37" s="101">
        <v>30</v>
      </c>
      <c r="B37" s="133" t="s">
        <v>34</v>
      </c>
      <c r="C37" s="189">
        <v>864200</v>
      </c>
      <c r="D37" s="190">
        <v>268400</v>
      </c>
      <c r="E37" s="190">
        <v>273200</v>
      </c>
      <c r="F37" s="189">
        <v>0</v>
      </c>
      <c r="G37" s="190">
        <v>0</v>
      </c>
      <c r="H37" s="138">
        <f t="shared" si="0"/>
        <v>1405800</v>
      </c>
      <c r="I37" s="102"/>
      <c r="J37" s="101">
        <v>30</v>
      </c>
      <c r="K37" s="133" t="s">
        <v>34</v>
      </c>
      <c r="L37" s="189">
        <v>864200</v>
      </c>
      <c r="M37" s="190">
        <v>268400</v>
      </c>
      <c r="N37" s="190">
        <v>273200</v>
      </c>
      <c r="O37" s="189">
        <v>0</v>
      </c>
      <c r="P37" s="190">
        <v>0</v>
      </c>
      <c r="Q37" s="138">
        <f t="shared" si="1"/>
        <v>1405800</v>
      </c>
      <c r="R37" s="102"/>
      <c r="S37" s="101">
        <v>30</v>
      </c>
      <c r="T37" s="133" t="s">
        <v>34</v>
      </c>
      <c r="U37" s="189">
        <v>864200</v>
      </c>
      <c r="V37" s="190">
        <v>268400</v>
      </c>
      <c r="W37" s="190">
        <v>273200</v>
      </c>
      <c r="X37" s="189">
        <v>0</v>
      </c>
      <c r="Y37" s="190">
        <v>0</v>
      </c>
      <c r="Z37" s="138">
        <f t="shared" si="2"/>
        <v>1405800</v>
      </c>
      <c r="AA37" s="102"/>
      <c r="AB37" s="101">
        <v>30</v>
      </c>
      <c r="AC37" s="133" t="s">
        <v>34</v>
      </c>
      <c r="AD37" s="51">
        <f>Total!C37-Auszahlungen!C37-Auszahlungen!L37-Auszahlungen!U37</f>
        <v>864200</v>
      </c>
      <c r="AE37" s="116">
        <f>Total!D37-Auszahlungen!D37-Auszahlungen!M37-Auszahlungen!V37</f>
        <v>268200</v>
      </c>
      <c r="AF37" s="116">
        <f>Total!E37-Auszahlungen!E37-Auszahlungen!N37-Auszahlungen!W37</f>
        <v>275600</v>
      </c>
      <c r="AG37" s="51">
        <f>Total!F37-Auszahlungen!F37-Auszahlungen!O37-Auszahlungen!X37</f>
        <v>0</v>
      </c>
      <c r="AH37" s="116">
        <f>Total!G37-Auszahlungen!G37-Auszahlungen!P37-Auszahlungen!Y37</f>
        <v>0</v>
      </c>
      <c r="AI37" s="138">
        <f t="shared" si="3"/>
        <v>1408000</v>
      </c>
    </row>
    <row r="38" spans="1:35" x14ac:dyDescent="0.2">
      <c r="A38" s="101">
        <v>31</v>
      </c>
      <c r="B38" s="133" t="s">
        <v>35</v>
      </c>
      <c r="C38" s="189">
        <v>0</v>
      </c>
      <c r="D38" s="190">
        <v>0</v>
      </c>
      <c r="E38" s="190">
        <v>0</v>
      </c>
      <c r="F38" s="189">
        <v>0</v>
      </c>
      <c r="G38" s="190">
        <v>0</v>
      </c>
      <c r="H38" s="138">
        <f t="shared" si="0"/>
        <v>0</v>
      </c>
      <c r="I38" s="102"/>
      <c r="J38" s="101">
        <v>31</v>
      </c>
      <c r="K38" s="133" t="s">
        <v>35</v>
      </c>
      <c r="L38" s="189">
        <v>0</v>
      </c>
      <c r="M38" s="190">
        <v>0</v>
      </c>
      <c r="N38" s="190">
        <v>0</v>
      </c>
      <c r="O38" s="189">
        <v>0</v>
      </c>
      <c r="P38" s="190">
        <v>0</v>
      </c>
      <c r="Q38" s="138">
        <f t="shared" si="1"/>
        <v>0</v>
      </c>
      <c r="R38" s="102"/>
      <c r="S38" s="101">
        <v>31</v>
      </c>
      <c r="T38" s="133" t="s">
        <v>35</v>
      </c>
      <c r="U38" s="189">
        <v>0</v>
      </c>
      <c r="V38" s="190">
        <v>0</v>
      </c>
      <c r="W38" s="190">
        <v>0</v>
      </c>
      <c r="X38" s="189">
        <v>0</v>
      </c>
      <c r="Y38" s="190">
        <v>0</v>
      </c>
      <c r="Z38" s="138">
        <f t="shared" si="2"/>
        <v>0</v>
      </c>
      <c r="AA38" s="102"/>
      <c r="AB38" s="101">
        <v>31</v>
      </c>
      <c r="AC38" s="133" t="s">
        <v>35</v>
      </c>
      <c r="AD38" s="51">
        <f>Total!C38-Auszahlungen!C38-Auszahlungen!L38-Auszahlungen!U38</f>
        <v>0</v>
      </c>
      <c r="AE38" s="116">
        <f>Total!D38-Auszahlungen!D38-Auszahlungen!M38-Auszahlungen!V38</f>
        <v>0</v>
      </c>
      <c r="AF38" s="116">
        <f>Total!E38-Auszahlungen!E38-Auszahlungen!N38-Auszahlungen!W38</f>
        <v>0</v>
      </c>
      <c r="AG38" s="51">
        <f>Total!F38-Auszahlungen!F38-Auszahlungen!O38-Auszahlungen!X38</f>
        <v>0</v>
      </c>
      <c r="AH38" s="116">
        <f>Total!G38-Auszahlungen!G38-Auszahlungen!P38-Auszahlungen!Y38</f>
        <v>0</v>
      </c>
      <c r="AI38" s="138">
        <f t="shared" si="3"/>
        <v>0</v>
      </c>
    </row>
    <row r="39" spans="1:35" x14ac:dyDescent="0.2">
      <c r="A39" s="101">
        <v>32</v>
      </c>
      <c r="B39" s="133" t="s">
        <v>36</v>
      </c>
      <c r="C39" s="189">
        <v>333300</v>
      </c>
      <c r="D39" s="190">
        <v>44600</v>
      </c>
      <c r="E39" s="190">
        <v>102000</v>
      </c>
      <c r="F39" s="189">
        <v>0</v>
      </c>
      <c r="G39" s="190">
        <v>0</v>
      </c>
      <c r="H39" s="138">
        <f t="shared" si="0"/>
        <v>479900</v>
      </c>
      <c r="I39" s="102"/>
      <c r="J39" s="101">
        <v>32</v>
      </c>
      <c r="K39" s="133" t="s">
        <v>36</v>
      </c>
      <c r="L39" s="189">
        <v>333300</v>
      </c>
      <c r="M39" s="190">
        <v>44600</v>
      </c>
      <c r="N39" s="190">
        <v>102000</v>
      </c>
      <c r="O39" s="189">
        <v>0</v>
      </c>
      <c r="P39" s="190">
        <v>0</v>
      </c>
      <c r="Q39" s="138">
        <f t="shared" si="1"/>
        <v>479900</v>
      </c>
      <c r="R39" s="102"/>
      <c r="S39" s="101">
        <v>32</v>
      </c>
      <c r="T39" s="133" t="s">
        <v>36</v>
      </c>
      <c r="U39" s="189">
        <v>333300</v>
      </c>
      <c r="V39" s="190">
        <v>44600</v>
      </c>
      <c r="W39" s="190">
        <v>102000</v>
      </c>
      <c r="X39" s="189">
        <v>0</v>
      </c>
      <c r="Y39" s="190">
        <v>0</v>
      </c>
      <c r="Z39" s="138">
        <f t="shared" si="2"/>
        <v>479900</v>
      </c>
      <c r="AA39" s="102"/>
      <c r="AB39" s="101">
        <v>32</v>
      </c>
      <c r="AC39" s="133" t="s">
        <v>36</v>
      </c>
      <c r="AD39" s="51">
        <f>Total!C39-Auszahlungen!C39-Auszahlungen!L39-Auszahlungen!U39</f>
        <v>333300</v>
      </c>
      <c r="AE39" s="116">
        <f>Total!D39-Auszahlungen!D39-Auszahlungen!M39-Auszahlungen!V39</f>
        <v>44400</v>
      </c>
      <c r="AF39" s="116">
        <f>Total!E39-Auszahlungen!E39-Auszahlungen!N39-Auszahlungen!W39</f>
        <v>103000</v>
      </c>
      <c r="AG39" s="51">
        <f>Total!F39-Auszahlungen!F39-Auszahlungen!O39-Auszahlungen!X39</f>
        <v>0</v>
      </c>
      <c r="AH39" s="116">
        <f>Total!G39-Auszahlungen!G39-Auszahlungen!P39-Auszahlungen!Y39</f>
        <v>0</v>
      </c>
      <c r="AI39" s="138">
        <f t="shared" si="3"/>
        <v>480700</v>
      </c>
    </row>
    <row r="40" spans="1:35" x14ac:dyDescent="0.2">
      <c r="A40" s="101">
        <v>33</v>
      </c>
      <c r="B40" s="133" t="s">
        <v>37</v>
      </c>
      <c r="C40" s="189">
        <v>939900</v>
      </c>
      <c r="D40" s="190">
        <v>96200</v>
      </c>
      <c r="E40" s="190">
        <v>239600</v>
      </c>
      <c r="F40" s="189">
        <v>0</v>
      </c>
      <c r="G40" s="190">
        <v>0</v>
      </c>
      <c r="H40" s="138">
        <f t="shared" ref="H40:H71" si="4">SUM(C40:G40)</f>
        <v>1275700</v>
      </c>
      <c r="I40" s="102"/>
      <c r="J40" s="101">
        <v>33</v>
      </c>
      <c r="K40" s="133" t="s">
        <v>37</v>
      </c>
      <c r="L40" s="189">
        <v>939900</v>
      </c>
      <c r="M40" s="190">
        <v>96200</v>
      </c>
      <c r="N40" s="190">
        <v>239600</v>
      </c>
      <c r="O40" s="189">
        <v>0</v>
      </c>
      <c r="P40" s="190">
        <v>0</v>
      </c>
      <c r="Q40" s="138">
        <f t="shared" ref="Q40:Q71" si="5">SUM(L40:P40)</f>
        <v>1275700</v>
      </c>
      <c r="R40" s="102"/>
      <c r="S40" s="101">
        <v>33</v>
      </c>
      <c r="T40" s="133" t="s">
        <v>37</v>
      </c>
      <c r="U40" s="189">
        <v>939900</v>
      </c>
      <c r="V40" s="190">
        <v>96200</v>
      </c>
      <c r="W40" s="190">
        <v>239600</v>
      </c>
      <c r="X40" s="189">
        <v>0</v>
      </c>
      <c r="Y40" s="190">
        <v>0</v>
      </c>
      <c r="Z40" s="138">
        <f t="shared" ref="Z40:Z71" si="6">SUM(U40:Y40)</f>
        <v>1275700</v>
      </c>
      <c r="AA40" s="102"/>
      <c r="AB40" s="101">
        <v>33</v>
      </c>
      <c r="AC40" s="133" t="s">
        <v>37</v>
      </c>
      <c r="AD40" s="51">
        <f>Total!C40-Auszahlungen!C40-Auszahlungen!L40-Auszahlungen!U40</f>
        <v>940000</v>
      </c>
      <c r="AE40" s="116">
        <f>Total!D40-Auszahlungen!D40-Auszahlungen!M40-Auszahlungen!V40</f>
        <v>96100</v>
      </c>
      <c r="AF40" s="116">
        <f>Total!E40-Auszahlungen!E40-Auszahlungen!N40-Auszahlungen!W40</f>
        <v>241400</v>
      </c>
      <c r="AG40" s="51">
        <f>Total!F40-Auszahlungen!F40-Auszahlungen!O40-Auszahlungen!X40</f>
        <v>0</v>
      </c>
      <c r="AH40" s="116">
        <f>Total!G40-Auszahlungen!G40-Auszahlungen!P40-Auszahlungen!Y40</f>
        <v>0</v>
      </c>
      <c r="AI40" s="138">
        <f t="shared" ref="AI40:AI71" si="7">SUM(AD40:AH40)</f>
        <v>1277500</v>
      </c>
    </row>
    <row r="41" spans="1:35" x14ac:dyDescent="0.2">
      <c r="A41" s="101">
        <v>34</v>
      </c>
      <c r="B41" s="133" t="s">
        <v>38</v>
      </c>
      <c r="C41" s="189">
        <v>403600</v>
      </c>
      <c r="D41" s="190">
        <v>0</v>
      </c>
      <c r="E41" s="190">
        <v>3700</v>
      </c>
      <c r="F41" s="189">
        <v>0</v>
      </c>
      <c r="G41" s="190">
        <v>0</v>
      </c>
      <c r="H41" s="138">
        <f t="shared" si="4"/>
        <v>407300</v>
      </c>
      <c r="I41" s="102"/>
      <c r="J41" s="101">
        <v>34</v>
      </c>
      <c r="K41" s="133" t="s">
        <v>38</v>
      </c>
      <c r="L41" s="189">
        <v>403600</v>
      </c>
      <c r="M41" s="190">
        <v>0</v>
      </c>
      <c r="N41" s="190">
        <v>3700</v>
      </c>
      <c r="O41" s="189">
        <v>0</v>
      </c>
      <c r="P41" s="190">
        <v>0</v>
      </c>
      <c r="Q41" s="138">
        <f t="shared" si="5"/>
        <v>407300</v>
      </c>
      <c r="R41" s="102"/>
      <c r="S41" s="101">
        <v>34</v>
      </c>
      <c r="T41" s="133" t="s">
        <v>38</v>
      </c>
      <c r="U41" s="189">
        <v>403600</v>
      </c>
      <c r="V41" s="190">
        <v>0</v>
      </c>
      <c r="W41" s="190">
        <v>3700</v>
      </c>
      <c r="X41" s="189">
        <v>0</v>
      </c>
      <c r="Y41" s="190">
        <v>0</v>
      </c>
      <c r="Z41" s="138">
        <f t="shared" si="6"/>
        <v>407300</v>
      </c>
      <c r="AA41" s="102"/>
      <c r="AB41" s="101">
        <v>34</v>
      </c>
      <c r="AC41" s="133" t="s">
        <v>38</v>
      </c>
      <c r="AD41" s="51">
        <f>Total!C41-Auszahlungen!C41-Auszahlungen!L41-Auszahlungen!U41</f>
        <v>403600</v>
      </c>
      <c r="AE41" s="116">
        <f>Total!D41-Auszahlungen!D41-Auszahlungen!M41-Auszahlungen!V41</f>
        <v>0</v>
      </c>
      <c r="AF41" s="116">
        <f>Total!E41-Auszahlungen!E41-Auszahlungen!N41-Auszahlungen!W41</f>
        <v>3500</v>
      </c>
      <c r="AG41" s="51">
        <f>Total!F41-Auszahlungen!F41-Auszahlungen!O41-Auszahlungen!X41</f>
        <v>0</v>
      </c>
      <c r="AH41" s="116">
        <f>Total!G41-Auszahlungen!G41-Auszahlungen!P41-Auszahlungen!Y41</f>
        <v>0</v>
      </c>
      <c r="AI41" s="138">
        <f t="shared" si="7"/>
        <v>407100</v>
      </c>
    </row>
    <row r="42" spans="1:35" x14ac:dyDescent="0.2">
      <c r="A42" s="101">
        <v>35</v>
      </c>
      <c r="B42" s="133" t="s">
        <v>39</v>
      </c>
      <c r="C42" s="189">
        <v>741400</v>
      </c>
      <c r="D42" s="190">
        <v>49900</v>
      </c>
      <c r="E42" s="190">
        <v>141800</v>
      </c>
      <c r="F42" s="189">
        <v>0</v>
      </c>
      <c r="G42" s="190">
        <v>0</v>
      </c>
      <c r="H42" s="138">
        <f t="shared" si="4"/>
        <v>933100</v>
      </c>
      <c r="I42" s="102"/>
      <c r="J42" s="101">
        <v>35</v>
      </c>
      <c r="K42" s="133" t="s">
        <v>39</v>
      </c>
      <c r="L42" s="189">
        <v>741400</v>
      </c>
      <c r="M42" s="190">
        <v>49900</v>
      </c>
      <c r="N42" s="190">
        <v>141800</v>
      </c>
      <c r="O42" s="189">
        <v>0</v>
      </c>
      <c r="P42" s="190">
        <v>0</v>
      </c>
      <c r="Q42" s="138">
        <f t="shared" si="5"/>
        <v>933100</v>
      </c>
      <c r="R42" s="102"/>
      <c r="S42" s="101">
        <v>35</v>
      </c>
      <c r="T42" s="133" t="s">
        <v>39</v>
      </c>
      <c r="U42" s="189">
        <v>741400</v>
      </c>
      <c r="V42" s="190">
        <v>49900</v>
      </c>
      <c r="W42" s="190">
        <v>141800</v>
      </c>
      <c r="X42" s="189">
        <v>0</v>
      </c>
      <c r="Y42" s="190">
        <v>0</v>
      </c>
      <c r="Z42" s="138">
        <f t="shared" si="6"/>
        <v>933100</v>
      </c>
      <c r="AA42" s="102"/>
      <c r="AB42" s="101">
        <v>35</v>
      </c>
      <c r="AC42" s="133" t="s">
        <v>39</v>
      </c>
      <c r="AD42" s="51">
        <f>Total!C42-Auszahlungen!C42-Auszahlungen!L42-Auszahlungen!U42</f>
        <v>741500</v>
      </c>
      <c r="AE42" s="116">
        <f>Total!D42-Auszahlungen!D42-Auszahlungen!M42-Auszahlungen!V42</f>
        <v>49700</v>
      </c>
      <c r="AF42" s="116">
        <f>Total!E42-Auszahlungen!E42-Auszahlungen!N42-Auszahlungen!W42</f>
        <v>142900</v>
      </c>
      <c r="AG42" s="51">
        <f>Total!F42-Auszahlungen!F42-Auszahlungen!O42-Auszahlungen!X42</f>
        <v>0</v>
      </c>
      <c r="AH42" s="116">
        <f>Total!G42-Auszahlungen!G42-Auszahlungen!P42-Auszahlungen!Y42</f>
        <v>0</v>
      </c>
      <c r="AI42" s="138">
        <f t="shared" si="7"/>
        <v>934100</v>
      </c>
    </row>
    <row r="43" spans="1:35" x14ac:dyDescent="0.2">
      <c r="A43" s="101">
        <v>36</v>
      </c>
      <c r="B43" s="133" t="s">
        <v>40</v>
      </c>
      <c r="C43" s="189">
        <v>0</v>
      </c>
      <c r="D43" s="190">
        <v>0</v>
      </c>
      <c r="E43" s="190">
        <v>0</v>
      </c>
      <c r="F43" s="189">
        <v>0</v>
      </c>
      <c r="G43" s="190">
        <v>0</v>
      </c>
      <c r="H43" s="138">
        <f t="shared" si="4"/>
        <v>0</v>
      </c>
      <c r="I43" s="102"/>
      <c r="J43" s="101">
        <v>36</v>
      </c>
      <c r="K43" s="133" t="s">
        <v>40</v>
      </c>
      <c r="L43" s="189">
        <v>0</v>
      </c>
      <c r="M43" s="190">
        <v>0</v>
      </c>
      <c r="N43" s="190">
        <v>0</v>
      </c>
      <c r="O43" s="189">
        <v>0</v>
      </c>
      <c r="P43" s="190">
        <v>0</v>
      </c>
      <c r="Q43" s="138">
        <f t="shared" si="5"/>
        <v>0</v>
      </c>
      <c r="R43" s="102"/>
      <c r="S43" s="101">
        <v>36</v>
      </c>
      <c r="T43" s="133" t="s">
        <v>40</v>
      </c>
      <c r="U43" s="189">
        <v>0</v>
      </c>
      <c r="V43" s="190">
        <v>0</v>
      </c>
      <c r="W43" s="190">
        <v>0</v>
      </c>
      <c r="X43" s="189">
        <v>0</v>
      </c>
      <c r="Y43" s="190">
        <v>0</v>
      </c>
      <c r="Z43" s="138">
        <f t="shared" si="6"/>
        <v>0</v>
      </c>
      <c r="AA43" s="102"/>
      <c r="AB43" s="101">
        <v>36</v>
      </c>
      <c r="AC43" s="133" t="s">
        <v>40</v>
      </c>
      <c r="AD43" s="51">
        <f>Total!C43-Auszahlungen!C43-Auszahlungen!L43-Auszahlungen!U43</f>
        <v>0</v>
      </c>
      <c r="AE43" s="116">
        <f>Total!D43-Auszahlungen!D43-Auszahlungen!M43-Auszahlungen!V43</f>
        <v>0</v>
      </c>
      <c r="AF43" s="116">
        <f>Total!E43-Auszahlungen!E43-Auszahlungen!N43-Auszahlungen!W43</f>
        <v>0</v>
      </c>
      <c r="AG43" s="51">
        <f>Total!F43-Auszahlungen!F43-Auszahlungen!O43-Auszahlungen!X43</f>
        <v>0</v>
      </c>
      <c r="AH43" s="116">
        <f>Total!G43-Auszahlungen!G43-Auszahlungen!P43-Auszahlungen!Y43</f>
        <v>0</v>
      </c>
      <c r="AI43" s="138">
        <f t="shared" si="7"/>
        <v>0</v>
      </c>
    </row>
    <row r="44" spans="1:35" x14ac:dyDescent="0.2">
      <c r="A44" s="101">
        <v>37</v>
      </c>
      <c r="B44" s="133" t="s">
        <v>41</v>
      </c>
      <c r="C44" s="189">
        <v>354600</v>
      </c>
      <c r="D44" s="190">
        <v>592600</v>
      </c>
      <c r="E44" s="190">
        <v>32700</v>
      </c>
      <c r="F44" s="189">
        <v>6100</v>
      </c>
      <c r="G44" s="190">
        <v>0</v>
      </c>
      <c r="H44" s="138">
        <f t="shared" si="4"/>
        <v>986000</v>
      </c>
      <c r="I44" s="102"/>
      <c r="J44" s="101">
        <v>37</v>
      </c>
      <c r="K44" s="133" t="s">
        <v>41</v>
      </c>
      <c r="L44" s="189">
        <v>354600</v>
      </c>
      <c r="M44" s="190">
        <v>592600</v>
      </c>
      <c r="N44" s="190">
        <v>32700</v>
      </c>
      <c r="O44" s="189">
        <v>6100</v>
      </c>
      <c r="P44" s="190">
        <v>0</v>
      </c>
      <c r="Q44" s="138">
        <f t="shared" si="5"/>
        <v>986000</v>
      </c>
      <c r="R44" s="102"/>
      <c r="S44" s="101">
        <v>37</v>
      </c>
      <c r="T44" s="133" t="s">
        <v>41</v>
      </c>
      <c r="U44" s="189">
        <v>354600</v>
      </c>
      <c r="V44" s="190">
        <v>592600</v>
      </c>
      <c r="W44" s="190">
        <v>32700</v>
      </c>
      <c r="X44" s="189">
        <v>6100</v>
      </c>
      <c r="Y44" s="190">
        <v>0</v>
      </c>
      <c r="Z44" s="138">
        <f t="shared" si="6"/>
        <v>986000</v>
      </c>
      <c r="AA44" s="102"/>
      <c r="AB44" s="101">
        <v>37</v>
      </c>
      <c r="AC44" s="133" t="s">
        <v>41</v>
      </c>
      <c r="AD44" s="51">
        <f>Total!C44-Auszahlungen!C44-Auszahlungen!L44-Auszahlungen!U44</f>
        <v>354600</v>
      </c>
      <c r="AE44" s="116">
        <f>Total!D44-Auszahlungen!D44-Auszahlungen!M44-Auszahlungen!V44</f>
        <v>592500</v>
      </c>
      <c r="AF44" s="116">
        <f>Total!E44-Auszahlungen!E44-Auszahlungen!N44-Auszahlungen!W44</f>
        <v>32900</v>
      </c>
      <c r="AG44" s="51">
        <f>Total!F44-Auszahlungen!F44-Auszahlungen!O44-Auszahlungen!X44</f>
        <v>6400</v>
      </c>
      <c r="AH44" s="116">
        <f>Total!G44-Auszahlungen!G44-Auszahlungen!P44-Auszahlungen!Y44</f>
        <v>0</v>
      </c>
      <c r="AI44" s="138">
        <f t="shared" si="7"/>
        <v>986400</v>
      </c>
    </row>
    <row r="45" spans="1:35" x14ac:dyDescent="0.2">
      <c r="A45" s="101">
        <v>38</v>
      </c>
      <c r="B45" s="133" t="s">
        <v>42</v>
      </c>
      <c r="C45" s="189">
        <v>1454000</v>
      </c>
      <c r="D45" s="190">
        <v>329400</v>
      </c>
      <c r="E45" s="190">
        <v>348600</v>
      </c>
      <c r="F45" s="189">
        <v>4200</v>
      </c>
      <c r="G45" s="190">
        <v>0</v>
      </c>
      <c r="H45" s="138">
        <f t="shared" si="4"/>
        <v>2136200</v>
      </c>
      <c r="I45" s="102"/>
      <c r="J45" s="101">
        <v>38</v>
      </c>
      <c r="K45" s="133" t="s">
        <v>42</v>
      </c>
      <c r="L45" s="189">
        <v>1454000</v>
      </c>
      <c r="M45" s="190">
        <v>329400</v>
      </c>
      <c r="N45" s="190">
        <v>348600</v>
      </c>
      <c r="O45" s="189">
        <v>4200</v>
      </c>
      <c r="P45" s="190">
        <v>0</v>
      </c>
      <c r="Q45" s="138">
        <f t="shared" si="5"/>
        <v>2136200</v>
      </c>
      <c r="R45" s="102"/>
      <c r="S45" s="101">
        <v>38</v>
      </c>
      <c r="T45" s="133" t="s">
        <v>42</v>
      </c>
      <c r="U45" s="189">
        <v>1454000</v>
      </c>
      <c r="V45" s="190">
        <v>329400</v>
      </c>
      <c r="W45" s="190">
        <v>348600</v>
      </c>
      <c r="X45" s="189">
        <v>4200</v>
      </c>
      <c r="Y45" s="190">
        <v>0</v>
      </c>
      <c r="Z45" s="138">
        <f t="shared" si="6"/>
        <v>2136200</v>
      </c>
      <c r="AA45" s="102"/>
      <c r="AB45" s="101">
        <v>38</v>
      </c>
      <c r="AC45" s="133" t="s">
        <v>42</v>
      </c>
      <c r="AD45" s="51">
        <f>Total!C45-Auszahlungen!C45-Auszahlungen!L45-Auszahlungen!U45</f>
        <v>1453800</v>
      </c>
      <c r="AE45" s="116">
        <f>Total!D45-Auszahlungen!D45-Auszahlungen!M45-Auszahlungen!V45</f>
        <v>329500</v>
      </c>
      <c r="AF45" s="116">
        <f>Total!E45-Auszahlungen!E45-Auszahlungen!N45-Auszahlungen!W45</f>
        <v>351400</v>
      </c>
      <c r="AG45" s="51">
        <f>Total!F45-Auszahlungen!F45-Auszahlungen!O45-Auszahlungen!X45</f>
        <v>4600</v>
      </c>
      <c r="AH45" s="116">
        <f>Total!G45-Auszahlungen!G45-Auszahlungen!P45-Auszahlungen!Y45</f>
        <v>0</v>
      </c>
      <c r="AI45" s="138">
        <f t="shared" si="7"/>
        <v>2139300</v>
      </c>
    </row>
    <row r="46" spans="1:35" x14ac:dyDescent="0.2">
      <c r="A46" s="101">
        <v>39</v>
      </c>
      <c r="B46" s="133" t="s">
        <v>43</v>
      </c>
      <c r="C46" s="189">
        <v>482500</v>
      </c>
      <c r="D46" s="190">
        <v>281400</v>
      </c>
      <c r="E46" s="190">
        <v>19500</v>
      </c>
      <c r="F46" s="189">
        <v>0</v>
      </c>
      <c r="G46" s="190">
        <v>0</v>
      </c>
      <c r="H46" s="138">
        <f t="shared" si="4"/>
        <v>783400</v>
      </c>
      <c r="I46" s="102"/>
      <c r="J46" s="101">
        <v>39</v>
      </c>
      <c r="K46" s="133" t="s">
        <v>43</v>
      </c>
      <c r="L46" s="189">
        <v>482500</v>
      </c>
      <c r="M46" s="190">
        <v>281400</v>
      </c>
      <c r="N46" s="190">
        <v>19500</v>
      </c>
      <c r="O46" s="189">
        <v>0</v>
      </c>
      <c r="P46" s="190">
        <v>0</v>
      </c>
      <c r="Q46" s="138">
        <f t="shared" si="5"/>
        <v>783400</v>
      </c>
      <c r="R46" s="102"/>
      <c r="S46" s="101">
        <v>39</v>
      </c>
      <c r="T46" s="133" t="s">
        <v>43</v>
      </c>
      <c r="U46" s="189">
        <v>482500</v>
      </c>
      <c r="V46" s="190">
        <v>281400</v>
      </c>
      <c r="W46" s="190">
        <v>19500</v>
      </c>
      <c r="X46" s="189">
        <v>0</v>
      </c>
      <c r="Y46" s="190">
        <v>0</v>
      </c>
      <c r="Z46" s="138">
        <f t="shared" si="6"/>
        <v>783400</v>
      </c>
      <c r="AA46" s="102"/>
      <c r="AB46" s="101">
        <v>39</v>
      </c>
      <c r="AC46" s="133" t="s">
        <v>43</v>
      </c>
      <c r="AD46" s="51">
        <f>Total!C46-Auszahlungen!C46-Auszahlungen!L46-Auszahlungen!U46</f>
        <v>482500</v>
      </c>
      <c r="AE46" s="116">
        <f>Total!D46-Auszahlungen!D46-Auszahlungen!M46-Auszahlungen!V46</f>
        <v>281200</v>
      </c>
      <c r="AF46" s="116">
        <f>Total!E46-Auszahlungen!E46-Auszahlungen!N46-Auszahlungen!W46</f>
        <v>19500</v>
      </c>
      <c r="AG46" s="51">
        <f>Total!F46-Auszahlungen!F46-Auszahlungen!O46-Auszahlungen!X46</f>
        <v>0</v>
      </c>
      <c r="AH46" s="116">
        <f>Total!G46-Auszahlungen!G46-Auszahlungen!P46-Auszahlungen!Y46</f>
        <v>0</v>
      </c>
      <c r="AI46" s="138">
        <f t="shared" si="7"/>
        <v>783200</v>
      </c>
    </row>
    <row r="47" spans="1:35" x14ac:dyDescent="0.2">
      <c r="A47" s="101">
        <v>40</v>
      </c>
      <c r="B47" s="133" t="s">
        <v>44</v>
      </c>
      <c r="C47" s="189">
        <v>631500</v>
      </c>
      <c r="D47" s="190">
        <v>0</v>
      </c>
      <c r="E47" s="190">
        <v>123600</v>
      </c>
      <c r="F47" s="189">
        <v>0</v>
      </c>
      <c r="G47" s="190">
        <v>0</v>
      </c>
      <c r="H47" s="138">
        <f t="shared" si="4"/>
        <v>755100</v>
      </c>
      <c r="I47" s="102"/>
      <c r="J47" s="101">
        <v>40</v>
      </c>
      <c r="K47" s="133" t="s">
        <v>44</v>
      </c>
      <c r="L47" s="189">
        <v>631500</v>
      </c>
      <c r="M47" s="190">
        <v>0</v>
      </c>
      <c r="N47" s="190">
        <v>123600</v>
      </c>
      <c r="O47" s="189">
        <v>0</v>
      </c>
      <c r="P47" s="190">
        <v>0</v>
      </c>
      <c r="Q47" s="138">
        <f t="shared" si="5"/>
        <v>755100</v>
      </c>
      <c r="R47" s="102"/>
      <c r="S47" s="101">
        <v>40</v>
      </c>
      <c r="T47" s="133" t="s">
        <v>44</v>
      </c>
      <c r="U47" s="189">
        <v>631500</v>
      </c>
      <c r="V47" s="190">
        <v>0</v>
      </c>
      <c r="W47" s="190">
        <v>123600</v>
      </c>
      <c r="X47" s="189">
        <v>0</v>
      </c>
      <c r="Y47" s="190">
        <v>0</v>
      </c>
      <c r="Z47" s="138">
        <f t="shared" si="6"/>
        <v>755100</v>
      </c>
      <c r="AA47" s="102"/>
      <c r="AB47" s="101">
        <v>40</v>
      </c>
      <c r="AC47" s="133" t="s">
        <v>44</v>
      </c>
      <c r="AD47" s="51">
        <f>Total!C47-Auszahlungen!C47-Auszahlungen!L47-Auszahlungen!U47</f>
        <v>631500</v>
      </c>
      <c r="AE47" s="116">
        <f>Total!D47-Auszahlungen!D47-Auszahlungen!M47-Auszahlungen!V47</f>
        <v>0</v>
      </c>
      <c r="AF47" s="116">
        <f>Total!E47-Auszahlungen!E47-Auszahlungen!N47-Auszahlungen!W47</f>
        <v>124500</v>
      </c>
      <c r="AG47" s="51">
        <f>Total!F47-Auszahlungen!F47-Auszahlungen!O47-Auszahlungen!X47</f>
        <v>0</v>
      </c>
      <c r="AH47" s="116">
        <f>Total!G47-Auszahlungen!G47-Auszahlungen!P47-Auszahlungen!Y47</f>
        <v>0</v>
      </c>
      <c r="AI47" s="138">
        <f t="shared" si="7"/>
        <v>756000</v>
      </c>
    </row>
    <row r="48" spans="1:35" x14ac:dyDescent="0.2">
      <c r="A48" s="101">
        <v>41</v>
      </c>
      <c r="B48" s="133" t="s">
        <v>45</v>
      </c>
      <c r="C48" s="189">
        <v>177900</v>
      </c>
      <c r="D48" s="190">
        <v>119900</v>
      </c>
      <c r="E48" s="190">
        <v>0</v>
      </c>
      <c r="F48" s="189">
        <v>55300</v>
      </c>
      <c r="G48" s="190">
        <v>0</v>
      </c>
      <c r="H48" s="138">
        <f t="shared" si="4"/>
        <v>353100</v>
      </c>
      <c r="I48" s="102"/>
      <c r="J48" s="101">
        <v>41</v>
      </c>
      <c r="K48" s="133" t="s">
        <v>45</v>
      </c>
      <c r="L48" s="189">
        <v>177900</v>
      </c>
      <c r="M48" s="190">
        <v>119900</v>
      </c>
      <c r="N48" s="190">
        <v>0</v>
      </c>
      <c r="O48" s="189">
        <v>55300</v>
      </c>
      <c r="P48" s="190">
        <v>0</v>
      </c>
      <c r="Q48" s="138">
        <f t="shared" si="5"/>
        <v>353100</v>
      </c>
      <c r="R48" s="102"/>
      <c r="S48" s="101">
        <v>41</v>
      </c>
      <c r="T48" s="133" t="s">
        <v>45</v>
      </c>
      <c r="U48" s="189">
        <v>177900</v>
      </c>
      <c r="V48" s="190">
        <v>119900</v>
      </c>
      <c r="W48" s="190">
        <v>0</v>
      </c>
      <c r="X48" s="189">
        <v>55300</v>
      </c>
      <c r="Y48" s="190">
        <v>0</v>
      </c>
      <c r="Z48" s="138">
        <f t="shared" si="6"/>
        <v>353100</v>
      </c>
      <c r="AA48" s="102"/>
      <c r="AB48" s="101">
        <v>41</v>
      </c>
      <c r="AC48" s="133" t="s">
        <v>45</v>
      </c>
      <c r="AD48" s="51">
        <f>Total!C48-Auszahlungen!C48-Auszahlungen!L48-Auszahlungen!U48</f>
        <v>177800</v>
      </c>
      <c r="AE48" s="116">
        <f>Total!D48-Auszahlungen!D48-Auszahlungen!M48-Auszahlungen!V48</f>
        <v>119700</v>
      </c>
      <c r="AF48" s="116">
        <f>Total!E48-Auszahlungen!E48-Auszahlungen!N48-Auszahlungen!W48</f>
        <v>0</v>
      </c>
      <c r="AG48" s="51">
        <f>Total!F48-Auszahlungen!F48-Auszahlungen!O48-Auszahlungen!X48</f>
        <v>55400</v>
      </c>
      <c r="AH48" s="116">
        <f>Total!G48-Auszahlungen!G48-Auszahlungen!P48-Auszahlungen!Y48</f>
        <v>0</v>
      </c>
      <c r="AI48" s="138">
        <f t="shared" si="7"/>
        <v>352900</v>
      </c>
    </row>
    <row r="49" spans="1:35" x14ac:dyDescent="0.2">
      <c r="A49" s="101">
        <v>42</v>
      </c>
      <c r="B49" s="133" t="s">
        <v>46</v>
      </c>
      <c r="C49" s="189">
        <v>0</v>
      </c>
      <c r="D49" s="190">
        <v>188900</v>
      </c>
      <c r="E49" s="190">
        <v>0</v>
      </c>
      <c r="F49" s="189">
        <v>0</v>
      </c>
      <c r="G49" s="190">
        <v>0</v>
      </c>
      <c r="H49" s="138">
        <f t="shared" si="4"/>
        <v>188900</v>
      </c>
      <c r="I49" s="102"/>
      <c r="J49" s="101">
        <v>42</v>
      </c>
      <c r="K49" s="133" t="s">
        <v>46</v>
      </c>
      <c r="L49" s="189">
        <v>0</v>
      </c>
      <c r="M49" s="190">
        <v>188900</v>
      </c>
      <c r="N49" s="190">
        <v>0</v>
      </c>
      <c r="O49" s="189">
        <v>0</v>
      </c>
      <c r="P49" s="190">
        <v>0</v>
      </c>
      <c r="Q49" s="138">
        <f t="shared" si="5"/>
        <v>188900</v>
      </c>
      <c r="R49" s="102"/>
      <c r="S49" s="101">
        <v>42</v>
      </c>
      <c r="T49" s="133" t="s">
        <v>46</v>
      </c>
      <c r="U49" s="189">
        <v>0</v>
      </c>
      <c r="V49" s="190">
        <v>188900</v>
      </c>
      <c r="W49" s="190">
        <v>0</v>
      </c>
      <c r="X49" s="189">
        <v>0</v>
      </c>
      <c r="Y49" s="190">
        <v>0</v>
      </c>
      <c r="Z49" s="138">
        <f t="shared" si="6"/>
        <v>188900</v>
      </c>
      <c r="AA49" s="102"/>
      <c r="AB49" s="101">
        <v>42</v>
      </c>
      <c r="AC49" s="133" t="s">
        <v>46</v>
      </c>
      <c r="AD49" s="51">
        <f>Total!C49-Auszahlungen!C49-Auszahlungen!L49-Auszahlungen!U49</f>
        <v>0</v>
      </c>
      <c r="AE49" s="116">
        <f>Total!D49-Auszahlungen!D49-Auszahlungen!M49-Auszahlungen!V49</f>
        <v>188700</v>
      </c>
      <c r="AF49" s="116">
        <f>Total!E49-Auszahlungen!E49-Auszahlungen!N49-Auszahlungen!W49</f>
        <v>0</v>
      </c>
      <c r="AG49" s="51">
        <f>Total!F49-Auszahlungen!F49-Auszahlungen!O49-Auszahlungen!X49</f>
        <v>0</v>
      </c>
      <c r="AH49" s="116">
        <f>Total!G49-Auszahlungen!G49-Auszahlungen!P49-Auszahlungen!Y49</f>
        <v>0</v>
      </c>
      <c r="AI49" s="138">
        <f t="shared" si="7"/>
        <v>188700</v>
      </c>
    </row>
    <row r="50" spans="1:35" x14ac:dyDescent="0.2">
      <c r="A50" s="101">
        <v>43</v>
      </c>
      <c r="B50" s="133" t="s">
        <v>47</v>
      </c>
      <c r="C50" s="189">
        <v>0</v>
      </c>
      <c r="D50" s="190">
        <v>0</v>
      </c>
      <c r="E50" s="190">
        <v>0</v>
      </c>
      <c r="F50" s="189">
        <v>0</v>
      </c>
      <c r="G50" s="190">
        <v>0</v>
      </c>
      <c r="H50" s="138">
        <f t="shared" si="4"/>
        <v>0</v>
      </c>
      <c r="I50" s="102"/>
      <c r="J50" s="101">
        <v>43</v>
      </c>
      <c r="K50" s="133" t="s">
        <v>47</v>
      </c>
      <c r="L50" s="189">
        <v>0</v>
      </c>
      <c r="M50" s="190">
        <v>0</v>
      </c>
      <c r="N50" s="190">
        <v>0</v>
      </c>
      <c r="O50" s="189">
        <v>0</v>
      </c>
      <c r="P50" s="190">
        <v>0</v>
      </c>
      <c r="Q50" s="138">
        <f t="shared" si="5"/>
        <v>0</v>
      </c>
      <c r="R50" s="102"/>
      <c r="S50" s="101">
        <v>43</v>
      </c>
      <c r="T50" s="133" t="s">
        <v>47</v>
      </c>
      <c r="U50" s="189">
        <v>0</v>
      </c>
      <c r="V50" s="190">
        <v>0</v>
      </c>
      <c r="W50" s="190">
        <v>0</v>
      </c>
      <c r="X50" s="189">
        <v>0</v>
      </c>
      <c r="Y50" s="190">
        <v>0</v>
      </c>
      <c r="Z50" s="138">
        <f t="shared" si="6"/>
        <v>0</v>
      </c>
      <c r="AA50" s="102"/>
      <c r="AB50" s="101">
        <v>43</v>
      </c>
      <c r="AC50" s="133" t="s">
        <v>47</v>
      </c>
      <c r="AD50" s="51">
        <f>Total!C50-Auszahlungen!C50-Auszahlungen!L50-Auszahlungen!U50</f>
        <v>0</v>
      </c>
      <c r="AE50" s="116">
        <f>Total!D50-Auszahlungen!D50-Auszahlungen!M50-Auszahlungen!V50</f>
        <v>0</v>
      </c>
      <c r="AF50" s="116">
        <f>Total!E50-Auszahlungen!E50-Auszahlungen!N50-Auszahlungen!W50</f>
        <v>0</v>
      </c>
      <c r="AG50" s="51">
        <f>Total!F50-Auszahlungen!F50-Auszahlungen!O50-Auszahlungen!X50</f>
        <v>0</v>
      </c>
      <c r="AH50" s="116">
        <f>Total!G50-Auszahlungen!G50-Auszahlungen!P50-Auszahlungen!Y50</f>
        <v>0</v>
      </c>
      <c r="AI50" s="138">
        <f t="shared" si="7"/>
        <v>0</v>
      </c>
    </row>
    <row r="51" spans="1:35" x14ac:dyDescent="0.2">
      <c r="A51" s="101">
        <v>44</v>
      </c>
      <c r="B51" s="133" t="s">
        <v>48</v>
      </c>
      <c r="C51" s="189">
        <v>645000</v>
      </c>
      <c r="D51" s="190">
        <v>89400</v>
      </c>
      <c r="E51" s="190">
        <v>151300</v>
      </c>
      <c r="F51" s="189">
        <v>0</v>
      </c>
      <c r="G51" s="190">
        <v>0</v>
      </c>
      <c r="H51" s="138">
        <f t="shared" si="4"/>
        <v>885700</v>
      </c>
      <c r="I51" s="102"/>
      <c r="J51" s="101">
        <v>44</v>
      </c>
      <c r="K51" s="133" t="s">
        <v>48</v>
      </c>
      <c r="L51" s="189">
        <v>645000</v>
      </c>
      <c r="M51" s="190">
        <v>89400</v>
      </c>
      <c r="N51" s="190">
        <v>151300</v>
      </c>
      <c r="O51" s="189">
        <v>0</v>
      </c>
      <c r="P51" s="190">
        <v>0</v>
      </c>
      <c r="Q51" s="138">
        <f t="shared" si="5"/>
        <v>885700</v>
      </c>
      <c r="R51" s="102"/>
      <c r="S51" s="101">
        <v>44</v>
      </c>
      <c r="T51" s="133" t="s">
        <v>48</v>
      </c>
      <c r="U51" s="189">
        <v>645000</v>
      </c>
      <c r="V51" s="190">
        <v>89400</v>
      </c>
      <c r="W51" s="190">
        <v>151300</v>
      </c>
      <c r="X51" s="189">
        <v>0</v>
      </c>
      <c r="Y51" s="190">
        <v>0</v>
      </c>
      <c r="Z51" s="138">
        <f t="shared" si="6"/>
        <v>885700</v>
      </c>
      <c r="AA51" s="102"/>
      <c r="AB51" s="101">
        <v>44</v>
      </c>
      <c r="AC51" s="133" t="s">
        <v>48</v>
      </c>
      <c r="AD51" s="51">
        <f>Total!C51-Auszahlungen!C51-Auszahlungen!L51-Auszahlungen!U51</f>
        <v>644800</v>
      </c>
      <c r="AE51" s="116">
        <f>Total!D51-Auszahlungen!D51-Auszahlungen!M51-Auszahlungen!V51</f>
        <v>89200</v>
      </c>
      <c r="AF51" s="116">
        <f>Total!E51-Auszahlungen!E51-Auszahlungen!N51-Auszahlungen!W51</f>
        <v>152600</v>
      </c>
      <c r="AG51" s="51">
        <f>Total!F51-Auszahlungen!F51-Auszahlungen!O51-Auszahlungen!X51</f>
        <v>0</v>
      </c>
      <c r="AH51" s="116">
        <f>Total!G51-Auszahlungen!G51-Auszahlungen!P51-Auszahlungen!Y51</f>
        <v>0</v>
      </c>
      <c r="AI51" s="138">
        <f t="shared" si="7"/>
        <v>886600</v>
      </c>
    </row>
    <row r="52" spans="1:35" x14ac:dyDescent="0.2">
      <c r="A52" s="101">
        <v>45</v>
      </c>
      <c r="B52" s="133" t="s">
        <v>49</v>
      </c>
      <c r="C52" s="189">
        <v>454200</v>
      </c>
      <c r="D52" s="190">
        <v>51700</v>
      </c>
      <c r="E52" s="190">
        <v>252600</v>
      </c>
      <c r="F52" s="189">
        <v>0</v>
      </c>
      <c r="G52" s="190">
        <v>0</v>
      </c>
      <c r="H52" s="138">
        <f t="shared" si="4"/>
        <v>758500</v>
      </c>
      <c r="I52" s="102"/>
      <c r="J52" s="101">
        <v>45</v>
      </c>
      <c r="K52" s="133" t="s">
        <v>49</v>
      </c>
      <c r="L52" s="189">
        <v>454200</v>
      </c>
      <c r="M52" s="190">
        <v>51700</v>
      </c>
      <c r="N52" s="190">
        <v>252600</v>
      </c>
      <c r="O52" s="189">
        <v>0</v>
      </c>
      <c r="P52" s="190">
        <v>0</v>
      </c>
      <c r="Q52" s="138">
        <f t="shared" si="5"/>
        <v>758500</v>
      </c>
      <c r="R52" s="102"/>
      <c r="S52" s="101">
        <v>45</v>
      </c>
      <c r="T52" s="133" t="s">
        <v>49</v>
      </c>
      <c r="U52" s="189">
        <v>454200</v>
      </c>
      <c r="V52" s="190">
        <v>51700</v>
      </c>
      <c r="W52" s="190">
        <v>252600</v>
      </c>
      <c r="X52" s="189">
        <v>0</v>
      </c>
      <c r="Y52" s="190">
        <v>0</v>
      </c>
      <c r="Z52" s="138">
        <f t="shared" si="6"/>
        <v>758500</v>
      </c>
      <c r="AA52" s="102"/>
      <c r="AB52" s="101">
        <v>45</v>
      </c>
      <c r="AC52" s="133" t="s">
        <v>49</v>
      </c>
      <c r="AD52" s="51">
        <f>Total!C52-Auszahlungen!C52-Auszahlungen!L52-Auszahlungen!U52</f>
        <v>454200</v>
      </c>
      <c r="AE52" s="116">
        <f>Total!D52-Auszahlungen!D52-Auszahlungen!M52-Auszahlungen!V52</f>
        <v>51800</v>
      </c>
      <c r="AF52" s="116">
        <f>Total!E52-Auszahlungen!E52-Auszahlungen!N52-Auszahlungen!W52</f>
        <v>254400</v>
      </c>
      <c r="AG52" s="51">
        <f>Total!F52-Auszahlungen!F52-Auszahlungen!O52-Auszahlungen!X52</f>
        <v>0</v>
      </c>
      <c r="AH52" s="116">
        <f>Total!G52-Auszahlungen!G52-Auszahlungen!P52-Auszahlungen!Y52</f>
        <v>0</v>
      </c>
      <c r="AI52" s="138">
        <f t="shared" si="7"/>
        <v>760400</v>
      </c>
    </row>
    <row r="53" spans="1:35" x14ac:dyDescent="0.2">
      <c r="A53" s="101">
        <v>46</v>
      </c>
      <c r="B53" s="133" t="s">
        <v>50</v>
      </c>
      <c r="C53" s="189">
        <v>796500</v>
      </c>
      <c r="D53" s="190">
        <v>0</v>
      </c>
      <c r="E53" s="190">
        <v>133300</v>
      </c>
      <c r="F53" s="189">
        <v>0</v>
      </c>
      <c r="G53" s="190">
        <v>0</v>
      </c>
      <c r="H53" s="138">
        <f t="shared" si="4"/>
        <v>929800</v>
      </c>
      <c r="I53" s="102"/>
      <c r="J53" s="101">
        <v>46</v>
      </c>
      <c r="K53" s="133" t="s">
        <v>50</v>
      </c>
      <c r="L53" s="189">
        <v>796500</v>
      </c>
      <c r="M53" s="190">
        <v>0</v>
      </c>
      <c r="N53" s="190">
        <v>133300</v>
      </c>
      <c r="O53" s="189">
        <v>0</v>
      </c>
      <c r="P53" s="190">
        <v>0</v>
      </c>
      <c r="Q53" s="138">
        <f t="shared" si="5"/>
        <v>929800</v>
      </c>
      <c r="R53" s="102"/>
      <c r="S53" s="101">
        <v>46</v>
      </c>
      <c r="T53" s="133" t="s">
        <v>50</v>
      </c>
      <c r="U53" s="189">
        <v>796500</v>
      </c>
      <c r="V53" s="190">
        <v>0</v>
      </c>
      <c r="W53" s="190">
        <v>133300</v>
      </c>
      <c r="X53" s="189">
        <v>0</v>
      </c>
      <c r="Y53" s="190">
        <v>0</v>
      </c>
      <c r="Z53" s="138">
        <f t="shared" si="6"/>
        <v>929800</v>
      </c>
      <c r="AA53" s="102"/>
      <c r="AB53" s="101">
        <v>46</v>
      </c>
      <c r="AC53" s="133" t="s">
        <v>50</v>
      </c>
      <c r="AD53" s="51">
        <f>Total!C53-Auszahlungen!C53-Auszahlungen!L53-Auszahlungen!U53</f>
        <v>796400</v>
      </c>
      <c r="AE53" s="116">
        <f>Total!D53-Auszahlungen!D53-Auszahlungen!M53-Auszahlungen!V53</f>
        <v>0</v>
      </c>
      <c r="AF53" s="116">
        <f>Total!E53-Auszahlungen!E53-Auszahlungen!N53-Auszahlungen!W53</f>
        <v>134200</v>
      </c>
      <c r="AG53" s="51">
        <f>Total!F53-Auszahlungen!F53-Auszahlungen!O53-Auszahlungen!X53</f>
        <v>0</v>
      </c>
      <c r="AH53" s="116">
        <f>Total!G53-Auszahlungen!G53-Auszahlungen!P53-Auszahlungen!Y53</f>
        <v>0</v>
      </c>
      <c r="AI53" s="138">
        <f t="shared" si="7"/>
        <v>930600</v>
      </c>
    </row>
    <row r="54" spans="1:35" x14ac:dyDescent="0.2">
      <c r="A54" s="101">
        <v>48</v>
      </c>
      <c r="B54" s="133" t="s">
        <v>51</v>
      </c>
      <c r="C54" s="189">
        <v>0</v>
      </c>
      <c r="D54" s="190">
        <v>38000</v>
      </c>
      <c r="E54" s="190">
        <v>0</v>
      </c>
      <c r="F54" s="189">
        <v>0</v>
      </c>
      <c r="G54" s="190">
        <v>0</v>
      </c>
      <c r="H54" s="138">
        <f t="shared" si="4"/>
        <v>38000</v>
      </c>
      <c r="I54" s="102"/>
      <c r="J54" s="101">
        <v>48</v>
      </c>
      <c r="K54" s="133" t="s">
        <v>51</v>
      </c>
      <c r="L54" s="189">
        <v>0</v>
      </c>
      <c r="M54" s="190">
        <v>38000</v>
      </c>
      <c r="N54" s="190">
        <v>0</v>
      </c>
      <c r="O54" s="189">
        <v>0</v>
      </c>
      <c r="P54" s="190">
        <v>0</v>
      </c>
      <c r="Q54" s="138">
        <f t="shared" si="5"/>
        <v>38000</v>
      </c>
      <c r="R54" s="102"/>
      <c r="S54" s="101">
        <v>48</v>
      </c>
      <c r="T54" s="133" t="s">
        <v>51</v>
      </c>
      <c r="U54" s="189">
        <v>0</v>
      </c>
      <c r="V54" s="190">
        <v>38000</v>
      </c>
      <c r="W54" s="190">
        <v>0</v>
      </c>
      <c r="X54" s="189">
        <v>0</v>
      </c>
      <c r="Y54" s="190">
        <v>0</v>
      </c>
      <c r="Z54" s="138">
        <f t="shared" si="6"/>
        <v>38000</v>
      </c>
      <c r="AA54" s="102"/>
      <c r="AB54" s="101">
        <v>48</v>
      </c>
      <c r="AC54" s="133" t="s">
        <v>51</v>
      </c>
      <c r="AD54" s="51">
        <f>Total!C54-Auszahlungen!C54-Auszahlungen!L54-Auszahlungen!U54</f>
        <v>0</v>
      </c>
      <c r="AE54" s="116">
        <f>Total!D54-Auszahlungen!D54-Auszahlungen!M54-Auszahlungen!V54</f>
        <v>37800</v>
      </c>
      <c r="AF54" s="116">
        <f>Total!E54-Auszahlungen!E54-Auszahlungen!N54-Auszahlungen!W54</f>
        <v>0</v>
      </c>
      <c r="AG54" s="51">
        <f>Total!F54-Auszahlungen!F54-Auszahlungen!O54-Auszahlungen!X54</f>
        <v>0</v>
      </c>
      <c r="AH54" s="116">
        <f>Total!G54-Auszahlungen!G54-Auszahlungen!P54-Auszahlungen!Y54</f>
        <v>0</v>
      </c>
      <c r="AI54" s="138">
        <f t="shared" si="7"/>
        <v>37800</v>
      </c>
    </row>
    <row r="55" spans="1:35" x14ac:dyDescent="0.2">
      <c r="A55" s="101">
        <v>50</v>
      </c>
      <c r="B55" s="133" t="s">
        <v>52</v>
      </c>
      <c r="C55" s="189">
        <v>484900</v>
      </c>
      <c r="D55" s="190">
        <v>0</v>
      </c>
      <c r="E55" s="190">
        <v>218800</v>
      </c>
      <c r="F55" s="189">
        <v>6100</v>
      </c>
      <c r="G55" s="190">
        <v>0</v>
      </c>
      <c r="H55" s="138">
        <f t="shared" si="4"/>
        <v>709800</v>
      </c>
      <c r="I55" s="102"/>
      <c r="J55" s="101">
        <v>50</v>
      </c>
      <c r="K55" s="133" t="s">
        <v>52</v>
      </c>
      <c r="L55" s="189">
        <v>484900</v>
      </c>
      <c r="M55" s="190">
        <v>0</v>
      </c>
      <c r="N55" s="190">
        <v>218800</v>
      </c>
      <c r="O55" s="189">
        <v>6100</v>
      </c>
      <c r="P55" s="190">
        <v>0</v>
      </c>
      <c r="Q55" s="138">
        <f t="shared" si="5"/>
        <v>709800</v>
      </c>
      <c r="R55" s="102"/>
      <c r="S55" s="101">
        <v>50</v>
      </c>
      <c r="T55" s="133" t="s">
        <v>52</v>
      </c>
      <c r="U55" s="189">
        <v>484900</v>
      </c>
      <c r="V55" s="190">
        <v>0</v>
      </c>
      <c r="W55" s="190">
        <v>218800</v>
      </c>
      <c r="X55" s="189">
        <v>6100</v>
      </c>
      <c r="Y55" s="190">
        <v>0</v>
      </c>
      <c r="Z55" s="138">
        <f t="shared" si="6"/>
        <v>709800</v>
      </c>
      <c r="AA55" s="102"/>
      <c r="AB55" s="101">
        <v>50</v>
      </c>
      <c r="AC55" s="133" t="s">
        <v>52</v>
      </c>
      <c r="AD55" s="51">
        <f>Total!C55-Auszahlungen!C55-Auszahlungen!L55-Auszahlungen!U55</f>
        <v>484800</v>
      </c>
      <c r="AE55" s="116">
        <f>Total!D55-Auszahlungen!D55-Auszahlungen!M55-Auszahlungen!V55</f>
        <v>0</v>
      </c>
      <c r="AF55" s="116">
        <f>Total!E55-Auszahlungen!E55-Auszahlungen!N55-Auszahlungen!W55</f>
        <v>220600</v>
      </c>
      <c r="AG55" s="51">
        <f>Total!F55-Auszahlungen!F55-Auszahlungen!O55-Auszahlungen!X55</f>
        <v>7000</v>
      </c>
      <c r="AH55" s="116">
        <f>Total!G55-Auszahlungen!G55-Auszahlungen!P55-Auszahlungen!Y55</f>
        <v>0</v>
      </c>
      <c r="AI55" s="138">
        <f t="shared" si="7"/>
        <v>712400</v>
      </c>
    </row>
    <row r="56" spans="1:35" x14ac:dyDescent="0.2">
      <c r="A56" s="101">
        <v>51</v>
      </c>
      <c r="B56" s="133" t="s">
        <v>53</v>
      </c>
      <c r="C56" s="189">
        <v>0</v>
      </c>
      <c r="D56" s="190">
        <v>0</v>
      </c>
      <c r="E56" s="190">
        <v>5400</v>
      </c>
      <c r="F56" s="189">
        <v>0</v>
      </c>
      <c r="G56" s="190">
        <v>0</v>
      </c>
      <c r="H56" s="138">
        <f t="shared" si="4"/>
        <v>5400</v>
      </c>
      <c r="I56" s="102"/>
      <c r="J56" s="101">
        <v>51</v>
      </c>
      <c r="K56" s="133" t="s">
        <v>53</v>
      </c>
      <c r="L56" s="189">
        <v>0</v>
      </c>
      <c r="M56" s="190">
        <v>0</v>
      </c>
      <c r="N56" s="190">
        <v>5400</v>
      </c>
      <c r="O56" s="189">
        <v>0</v>
      </c>
      <c r="P56" s="190">
        <v>0</v>
      </c>
      <c r="Q56" s="138">
        <f t="shared" si="5"/>
        <v>5400</v>
      </c>
      <c r="R56" s="102"/>
      <c r="S56" s="101">
        <v>51</v>
      </c>
      <c r="T56" s="133" t="s">
        <v>53</v>
      </c>
      <c r="U56" s="189">
        <v>0</v>
      </c>
      <c r="V56" s="190">
        <v>0</v>
      </c>
      <c r="W56" s="190">
        <v>5400</v>
      </c>
      <c r="X56" s="189">
        <v>0</v>
      </c>
      <c r="Y56" s="190">
        <v>0</v>
      </c>
      <c r="Z56" s="138">
        <f t="shared" si="6"/>
        <v>5400</v>
      </c>
      <c r="AA56" s="102"/>
      <c r="AB56" s="101">
        <v>51</v>
      </c>
      <c r="AC56" s="133" t="s">
        <v>53</v>
      </c>
      <c r="AD56" s="51">
        <f>Total!C56-Auszahlungen!C56-Auszahlungen!L56-Auszahlungen!U56</f>
        <v>0</v>
      </c>
      <c r="AE56" s="116">
        <f>Total!D56-Auszahlungen!D56-Auszahlungen!M56-Auszahlungen!V56</f>
        <v>0</v>
      </c>
      <c r="AF56" s="116">
        <f>Total!E56-Auszahlungen!E56-Auszahlungen!N56-Auszahlungen!W56</f>
        <v>5200</v>
      </c>
      <c r="AG56" s="51">
        <f>Total!F56-Auszahlungen!F56-Auszahlungen!O56-Auszahlungen!X56</f>
        <v>0</v>
      </c>
      <c r="AH56" s="116">
        <f>Total!G56-Auszahlungen!G56-Auszahlungen!P56-Auszahlungen!Y56</f>
        <v>0</v>
      </c>
      <c r="AI56" s="138">
        <f t="shared" si="7"/>
        <v>5200</v>
      </c>
    </row>
    <row r="57" spans="1:35" x14ac:dyDescent="0.2">
      <c r="A57" s="101">
        <v>52</v>
      </c>
      <c r="B57" s="133" t="s">
        <v>54</v>
      </c>
      <c r="C57" s="189">
        <v>0</v>
      </c>
      <c r="D57" s="190">
        <v>0</v>
      </c>
      <c r="E57" s="190">
        <v>0</v>
      </c>
      <c r="F57" s="189">
        <v>74800</v>
      </c>
      <c r="G57" s="190">
        <v>0</v>
      </c>
      <c r="H57" s="138">
        <f t="shared" si="4"/>
        <v>74800</v>
      </c>
      <c r="I57" s="102"/>
      <c r="J57" s="101">
        <v>52</v>
      </c>
      <c r="K57" s="133" t="s">
        <v>54</v>
      </c>
      <c r="L57" s="189">
        <v>0</v>
      </c>
      <c r="M57" s="190">
        <v>0</v>
      </c>
      <c r="N57" s="190">
        <v>0</v>
      </c>
      <c r="O57" s="189">
        <v>74800</v>
      </c>
      <c r="P57" s="190">
        <v>0</v>
      </c>
      <c r="Q57" s="138">
        <f t="shared" si="5"/>
        <v>74800</v>
      </c>
      <c r="R57" s="102"/>
      <c r="S57" s="101">
        <v>52</v>
      </c>
      <c r="T57" s="133" t="s">
        <v>54</v>
      </c>
      <c r="U57" s="189">
        <v>0</v>
      </c>
      <c r="V57" s="190">
        <v>0</v>
      </c>
      <c r="W57" s="190">
        <v>0</v>
      </c>
      <c r="X57" s="189">
        <v>74800</v>
      </c>
      <c r="Y57" s="190">
        <v>0</v>
      </c>
      <c r="Z57" s="138">
        <f t="shared" si="6"/>
        <v>74800</v>
      </c>
      <c r="AA57" s="102"/>
      <c r="AB57" s="101">
        <v>52</v>
      </c>
      <c r="AC57" s="133" t="s">
        <v>54</v>
      </c>
      <c r="AD57" s="51">
        <f>Total!C57-Auszahlungen!C57-Auszahlungen!L57-Auszahlungen!U57</f>
        <v>0</v>
      </c>
      <c r="AE57" s="116">
        <f>Total!D57-Auszahlungen!D57-Auszahlungen!M57-Auszahlungen!V57</f>
        <v>0</v>
      </c>
      <c r="AF57" s="116">
        <f>Total!E57-Auszahlungen!E57-Auszahlungen!N57-Auszahlungen!W57</f>
        <v>0</v>
      </c>
      <c r="AG57" s="51">
        <f>Total!F57-Auszahlungen!F57-Auszahlungen!O57-Auszahlungen!X57</f>
        <v>75800</v>
      </c>
      <c r="AH57" s="116">
        <f>Total!G57-Auszahlungen!G57-Auszahlungen!P57-Auszahlungen!Y57</f>
        <v>0</v>
      </c>
      <c r="AI57" s="138">
        <f t="shared" si="7"/>
        <v>75800</v>
      </c>
    </row>
    <row r="58" spans="1:35" x14ac:dyDescent="0.2">
      <c r="A58" s="101">
        <v>54</v>
      </c>
      <c r="B58" s="133" t="s">
        <v>55</v>
      </c>
      <c r="C58" s="189">
        <v>641200</v>
      </c>
      <c r="D58" s="190">
        <v>375000</v>
      </c>
      <c r="E58" s="190">
        <v>271700</v>
      </c>
      <c r="F58" s="189">
        <v>45200</v>
      </c>
      <c r="G58" s="190">
        <v>0</v>
      </c>
      <c r="H58" s="138">
        <f t="shared" si="4"/>
        <v>1333100</v>
      </c>
      <c r="I58" s="102"/>
      <c r="J58" s="101">
        <v>54</v>
      </c>
      <c r="K58" s="133" t="s">
        <v>55</v>
      </c>
      <c r="L58" s="189">
        <v>641200</v>
      </c>
      <c r="M58" s="190">
        <v>375000</v>
      </c>
      <c r="N58" s="190">
        <v>271700</v>
      </c>
      <c r="O58" s="189">
        <v>45200</v>
      </c>
      <c r="P58" s="190">
        <v>0</v>
      </c>
      <c r="Q58" s="138">
        <f t="shared" si="5"/>
        <v>1333100</v>
      </c>
      <c r="R58" s="102"/>
      <c r="S58" s="101">
        <v>54</v>
      </c>
      <c r="T58" s="133" t="s">
        <v>55</v>
      </c>
      <c r="U58" s="189">
        <v>641200</v>
      </c>
      <c r="V58" s="190">
        <v>375000</v>
      </c>
      <c r="W58" s="190">
        <v>271700</v>
      </c>
      <c r="X58" s="189">
        <v>45200</v>
      </c>
      <c r="Y58" s="190">
        <v>0</v>
      </c>
      <c r="Z58" s="138">
        <f t="shared" si="6"/>
        <v>1333100</v>
      </c>
      <c r="AA58" s="102"/>
      <c r="AB58" s="101">
        <v>54</v>
      </c>
      <c r="AC58" s="133" t="s">
        <v>55</v>
      </c>
      <c r="AD58" s="51">
        <f>Total!C58-Auszahlungen!C58-Auszahlungen!L58-Auszahlungen!U58</f>
        <v>641100</v>
      </c>
      <c r="AE58" s="116">
        <f>Total!D58-Auszahlungen!D58-Auszahlungen!M58-Auszahlungen!V58</f>
        <v>374900</v>
      </c>
      <c r="AF58" s="116">
        <f>Total!E58-Auszahlungen!E58-Auszahlungen!N58-Auszahlungen!W58</f>
        <v>273900</v>
      </c>
      <c r="AG58" s="51">
        <f>Total!F58-Auszahlungen!F58-Auszahlungen!O58-Auszahlungen!X58</f>
        <v>45500</v>
      </c>
      <c r="AH58" s="116">
        <f>Total!G58-Auszahlungen!G58-Auszahlungen!P58-Auszahlungen!Y58</f>
        <v>0</v>
      </c>
      <c r="AI58" s="138">
        <f t="shared" si="7"/>
        <v>1335400</v>
      </c>
    </row>
    <row r="59" spans="1:35" x14ac:dyDescent="0.2">
      <c r="A59" s="101">
        <v>57</v>
      </c>
      <c r="B59" s="133" t="s">
        <v>56</v>
      </c>
      <c r="C59" s="189">
        <v>116000</v>
      </c>
      <c r="D59" s="190">
        <v>563200</v>
      </c>
      <c r="E59" s="190">
        <v>91800</v>
      </c>
      <c r="F59" s="189">
        <v>0</v>
      </c>
      <c r="G59" s="190">
        <v>0</v>
      </c>
      <c r="H59" s="138">
        <f t="shared" si="4"/>
        <v>771000</v>
      </c>
      <c r="I59" s="102"/>
      <c r="J59" s="101">
        <v>57</v>
      </c>
      <c r="K59" s="133" t="s">
        <v>56</v>
      </c>
      <c r="L59" s="189">
        <v>116000</v>
      </c>
      <c r="M59" s="190">
        <v>563200</v>
      </c>
      <c r="N59" s="190">
        <v>91800</v>
      </c>
      <c r="O59" s="189">
        <v>0</v>
      </c>
      <c r="P59" s="190">
        <v>0</v>
      </c>
      <c r="Q59" s="138">
        <f t="shared" si="5"/>
        <v>771000</v>
      </c>
      <c r="R59" s="102"/>
      <c r="S59" s="101">
        <v>57</v>
      </c>
      <c r="T59" s="133" t="s">
        <v>56</v>
      </c>
      <c r="U59" s="189">
        <v>116000</v>
      </c>
      <c r="V59" s="190">
        <v>563200</v>
      </c>
      <c r="W59" s="190">
        <v>91800</v>
      </c>
      <c r="X59" s="189">
        <v>0</v>
      </c>
      <c r="Y59" s="190">
        <v>0</v>
      </c>
      <c r="Z59" s="138">
        <f t="shared" si="6"/>
        <v>771000</v>
      </c>
      <c r="AA59" s="102"/>
      <c r="AB59" s="101">
        <v>57</v>
      </c>
      <c r="AC59" s="133" t="s">
        <v>56</v>
      </c>
      <c r="AD59" s="51">
        <f>Total!C59-Auszahlungen!C59-Auszahlungen!L59-Auszahlungen!U59</f>
        <v>115800</v>
      </c>
      <c r="AE59" s="116">
        <f>Total!D59-Auszahlungen!D59-Auszahlungen!M59-Auszahlungen!V59</f>
        <v>563100</v>
      </c>
      <c r="AF59" s="116">
        <f>Total!E59-Auszahlungen!E59-Auszahlungen!N59-Auszahlungen!W59</f>
        <v>92500</v>
      </c>
      <c r="AG59" s="51">
        <f>Total!F59-Auszahlungen!F59-Auszahlungen!O59-Auszahlungen!X59</f>
        <v>0</v>
      </c>
      <c r="AH59" s="116">
        <f>Total!G59-Auszahlungen!G59-Auszahlungen!P59-Auszahlungen!Y59</f>
        <v>0</v>
      </c>
      <c r="AI59" s="138">
        <f t="shared" si="7"/>
        <v>771400</v>
      </c>
    </row>
    <row r="60" spans="1:35" x14ac:dyDescent="0.2">
      <c r="A60" s="101">
        <v>60</v>
      </c>
      <c r="B60" s="133" t="s">
        <v>57</v>
      </c>
      <c r="C60" s="189">
        <v>789500</v>
      </c>
      <c r="D60" s="190">
        <v>604900</v>
      </c>
      <c r="E60" s="190">
        <v>0</v>
      </c>
      <c r="F60" s="189">
        <v>0</v>
      </c>
      <c r="G60" s="190">
        <v>0</v>
      </c>
      <c r="H60" s="138">
        <f t="shared" si="4"/>
        <v>1394400</v>
      </c>
      <c r="I60" s="102"/>
      <c r="J60" s="101">
        <v>60</v>
      </c>
      <c r="K60" s="133" t="s">
        <v>57</v>
      </c>
      <c r="L60" s="189">
        <v>789500</v>
      </c>
      <c r="M60" s="190">
        <v>604900</v>
      </c>
      <c r="N60" s="190">
        <v>0</v>
      </c>
      <c r="O60" s="189">
        <v>0</v>
      </c>
      <c r="P60" s="190">
        <v>0</v>
      </c>
      <c r="Q60" s="138">
        <f t="shared" si="5"/>
        <v>1394400</v>
      </c>
      <c r="R60" s="102"/>
      <c r="S60" s="101">
        <v>60</v>
      </c>
      <c r="T60" s="133" t="s">
        <v>57</v>
      </c>
      <c r="U60" s="189">
        <v>789500</v>
      </c>
      <c r="V60" s="190">
        <v>604900</v>
      </c>
      <c r="W60" s="190">
        <v>0</v>
      </c>
      <c r="X60" s="189">
        <v>0</v>
      </c>
      <c r="Y60" s="190">
        <v>0</v>
      </c>
      <c r="Z60" s="138">
        <f t="shared" si="6"/>
        <v>1394400</v>
      </c>
      <c r="AA60" s="102"/>
      <c r="AB60" s="101">
        <v>60</v>
      </c>
      <c r="AC60" s="133" t="s">
        <v>57</v>
      </c>
      <c r="AD60" s="51">
        <f>Total!C60-Auszahlungen!C60-Auszahlungen!L60-Auszahlungen!U60</f>
        <v>789500</v>
      </c>
      <c r="AE60" s="116">
        <f>Total!D60-Auszahlungen!D60-Auszahlungen!M60-Auszahlungen!V60</f>
        <v>604900</v>
      </c>
      <c r="AF60" s="116">
        <f>Total!E60-Auszahlungen!E60-Auszahlungen!N60-Auszahlungen!W60</f>
        <v>0</v>
      </c>
      <c r="AG60" s="51">
        <f>Total!F60-Auszahlungen!F60-Auszahlungen!O60-Auszahlungen!X60</f>
        <v>0</v>
      </c>
      <c r="AH60" s="116">
        <f>Total!G60-Auszahlungen!G60-Auszahlungen!P60-Auszahlungen!Y60</f>
        <v>0</v>
      </c>
      <c r="AI60" s="138">
        <f t="shared" si="7"/>
        <v>1394400</v>
      </c>
    </row>
    <row r="61" spans="1:35" x14ac:dyDescent="0.2">
      <c r="A61" s="101">
        <v>62</v>
      </c>
      <c r="B61" s="133" t="s">
        <v>58</v>
      </c>
      <c r="C61" s="189">
        <v>982400</v>
      </c>
      <c r="D61" s="190">
        <v>350000</v>
      </c>
      <c r="E61" s="190">
        <v>103500</v>
      </c>
      <c r="F61" s="189">
        <v>89900</v>
      </c>
      <c r="G61" s="190">
        <v>0</v>
      </c>
      <c r="H61" s="138">
        <f t="shared" si="4"/>
        <v>1525800</v>
      </c>
      <c r="I61" s="102"/>
      <c r="J61" s="101">
        <v>62</v>
      </c>
      <c r="K61" s="133" t="s">
        <v>58</v>
      </c>
      <c r="L61" s="189">
        <v>982400</v>
      </c>
      <c r="M61" s="190">
        <v>350000</v>
      </c>
      <c r="N61" s="190">
        <v>103500</v>
      </c>
      <c r="O61" s="189">
        <v>89900</v>
      </c>
      <c r="P61" s="190">
        <v>0</v>
      </c>
      <c r="Q61" s="138">
        <f t="shared" si="5"/>
        <v>1525800</v>
      </c>
      <c r="R61" s="102"/>
      <c r="S61" s="101">
        <v>62</v>
      </c>
      <c r="T61" s="133" t="s">
        <v>58</v>
      </c>
      <c r="U61" s="189">
        <v>982400</v>
      </c>
      <c r="V61" s="190">
        <v>350000</v>
      </c>
      <c r="W61" s="190">
        <v>103500</v>
      </c>
      <c r="X61" s="189">
        <v>89900</v>
      </c>
      <c r="Y61" s="190">
        <v>0</v>
      </c>
      <c r="Z61" s="138">
        <f t="shared" si="6"/>
        <v>1525800</v>
      </c>
      <c r="AA61" s="102"/>
      <c r="AB61" s="101">
        <v>62</v>
      </c>
      <c r="AC61" s="133" t="s">
        <v>58</v>
      </c>
      <c r="AD61" s="51">
        <f>Total!C61-Auszahlungen!C61-Auszahlungen!L61-Auszahlungen!U61</f>
        <v>982300</v>
      </c>
      <c r="AE61" s="116">
        <f>Total!D61-Auszahlungen!D61-Auszahlungen!M61-Auszahlungen!V61</f>
        <v>349800</v>
      </c>
      <c r="AF61" s="116">
        <f>Total!E61-Auszahlungen!E61-Auszahlungen!N61-Auszahlungen!W61</f>
        <v>104100</v>
      </c>
      <c r="AG61" s="51">
        <f>Total!F61-Auszahlungen!F61-Auszahlungen!O61-Auszahlungen!X61</f>
        <v>90300</v>
      </c>
      <c r="AH61" s="116">
        <f>Total!G61-Auszahlungen!G61-Auszahlungen!P61-Auszahlungen!Y61</f>
        <v>0</v>
      </c>
      <c r="AI61" s="138">
        <f t="shared" si="7"/>
        <v>1526500</v>
      </c>
    </row>
    <row r="62" spans="1:35" x14ac:dyDescent="0.2">
      <c r="A62" s="101">
        <v>63</v>
      </c>
      <c r="B62" s="133" t="s">
        <v>59</v>
      </c>
      <c r="C62" s="189">
        <v>1716600</v>
      </c>
      <c r="D62" s="190">
        <v>281500</v>
      </c>
      <c r="E62" s="190">
        <v>0</v>
      </c>
      <c r="F62" s="189">
        <v>165200</v>
      </c>
      <c r="G62" s="190">
        <v>0</v>
      </c>
      <c r="H62" s="138">
        <f t="shared" si="4"/>
        <v>2163300</v>
      </c>
      <c r="I62" s="102"/>
      <c r="J62" s="101">
        <v>63</v>
      </c>
      <c r="K62" s="133" t="s">
        <v>59</v>
      </c>
      <c r="L62" s="189">
        <v>1716600</v>
      </c>
      <c r="M62" s="190">
        <v>281500</v>
      </c>
      <c r="N62" s="190">
        <v>0</v>
      </c>
      <c r="O62" s="189">
        <v>165200</v>
      </c>
      <c r="P62" s="190">
        <v>0</v>
      </c>
      <c r="Q62" s="138">
        <f t="shared" si="5"/>
        <v>2163300</v>
      </c>
      <c r="R62" s="102"/>
      <c r="S62" s="101">
        <v>63</v>
      </c>
      <c r="T62" s="133" t="s">
        <v>59</v>
      </c>
      <c r="U62" s="189">
        <v>1716600</v>
      </c>
      <c r="V62" s="190">
        <v>281500</v>
      </c>
      <c r="W62" s="190">
        <v>0</v>
      </c>
      <c r="X62" s="189">
        <v>165200</v>
      </c>
      <c r="Y62" s="190">
        <v>0</v>
      </c>
      <c r="Z62" s="138">
        <f t="shared" si="6"/>
        <v>2163300</v>
      </c>
      <c r="AA62" s="102"/>
      <c r="AB62" s="101">
        <v>63</v>
      </c>
      <c r="AC62" s="133" t="s">
        <v>59</v>
      </c>
      <c r="AD62" s="51">
        <f>Total!C62-Auszahlungen!C62-Auszahlungen!L62-Auszahlungen!U62</f>
        <v>1716500</v>
      </c>
      <c r="AE62" s="116">
        <f>Total!D62-Auszahlungen!D62-Auszahlungen!M62-Auszahlungen!V62</f>
        <v>281300</v>
      </c>
      <c r="AF62" s="116">
        <f>Total!E62-Auszahlungen!E62-Auszahlungen!N62-Auszahlungen!W62</f>
        <v>0</v>
      </c>
      <c r="AG62" s="51">
        <f>Total!F62-Auszahlungen!F62-Auszahlungen!O62-Auszahlungen!X62</f>
        <v>166100</v>
      </c>
      <c r="AH62" s="116">
        <f>Total!G62-Auszahlungen!G62-Auszahlungen!P62-Auszahlungen!Y62</f>
        <v>0</v>
      </c>
      <c r="AI62" s="138">
        <f t="shared" si="7"/>
        <v>2163900</v>
      </c>
    </row>
    <row r="63" spans="1:35" x14ac:dyDescent="0.2">
      <c r="A63" s="101">
        <v>64</v>
      </c>
      <c r="B63" s="133" t="s">
        <v>60</v>
      </c>
      <c r="C63" s="189">
        <v>296500</v>
      </c>
      <c r="D63" s="190">
        <v>0</v>
      </c>
      <c r="E63" s="190">
        <v>0</v>
      </c>
      <c r="F63" s="189">
        <v>46900</v>
      </c>
      <c r="G63" s="190">
        <v>0</v>
      </c>
      <c r="H63" s="138">
        <f t="shared" si="4"/>
        <v>343400</v>
      </c>
      <c r="I63" s="102"/>
      <c r="J63" s="101">
        <v>64</v>
      </c>
      <c r="K63" s="133" t="s">
        <v>60</v>
      </c>
      <c r="L63" s="189">
        <v>296500</v>
      </c>
      <c r="M63" s="190">
        <v>0</v>
      </c>
      <c r="N63" s="190">
        <v>0</v>
      </c>
      <c r="O63" s="189">
        <v>46900</v>
      </c>
      <c r="P63" s="190">
        <v>0</v>
      </c>
      <c r="Q63" s="138">
        <f t="shared" si="5"/>
        <v>343400</v>
      </c>
      <c r="R63" s="102"/>
      <c r="S63" s="101">
        <v>64</v>
      </c>
      <c r="T63" s="133" t="s">
        <v>60</v>
      </c>
      <c r="U63" s="189">
        <v>296500</v>
      </c>
      <c r="V63" s="190">
        <v>0</v>
      </c>
      <c r="W63" s="190">
        <v>0</v>
      </c>
      <c r="X63" s="189">
        <v>46900</v>
      </c>
      <c r="Y63" s="190">
        <v>0</v>
      </c>
      <c r="Z63" s="138">
        <f t="shared" si="6"/>
        <v>343400</v>
      </c>
      <c r="AA63" s="102"/>
      <c r="AB63" s="101">
        <v>64</v>
      </c>
      <c r="AC63" s="133" t="s">
        <v>60</v>
      </c>
      <c r="AD63" s="51">
        <f>Total!C63-Auszahlungen!C63-Auszahlungen!L63-Auszahlungen!U63</f>
        <v>296300</v>
      </c>
      <c r="AE63" s="116">
        <f>Total!D63-Auszahlungen!D63-Auszahlungen!M63-Auszahlungen!V63</f>
        <v>0</v>
      </c>
      <c r="AF63" s="116">
        <f>Total!E63-Auszahlungen!E63-Auszahlungen!N63-Auszahlungen!W63</f>
        <v>0</v>
      </c>
      <c r="AG63" s="51">
        <f>Total!F63-Auszahlungen!F63-Auszahlungen!O63-Auszahlungen!X63</f>
        <v>46900</v>
      </c>
      <c r="AH63" s="116">
        <f>Total!G63-Auszahlungen!G63-Auszahlungen!P63-Auszahlungen!Y63</f>
        <v>0</v>
      </c>
      <c r="AI63" s="138">
        <f t="shared" si="7"/>
        <v>343200</v>
      </c>
    </row>
    <row r="64" spans="1:35" x14ac:dyDescent="0.2">
      <c r="A64" s="101">
        <v>65</v>
      </c>
      <c r="B64" s="133" t="s">
        <v>61</v>
      </c>
      <c r="C64" s="189">
        <v>326800</v>
      </c>
      <c r="D64" s="190">
        <v>192600</v>
      </c>
      <c r="E64" s="190">
        <v>91200</v>
      </c>
      <c r="F64" s="189">
        <v>0</v>
      </c>
      <c r="G64" s="190">
        <v>0</v>
      </c>
      <c r="H64" s="138">
        <f t="shared" si="4"/>
        <v>610600</v>
      </c>
      <c r="I64" s="102"/>
      <c r="J64" s="101">
        <v>65</v>
      </c>
      <c r="K64" s="133" t="s">
        <v>61</v>
      </c>
      <c r="L64" s="189">
        <v>326800</v>
      </c>
      <c r="M64" s="190">
        <v>192600</v>
      </c>
      <c r="N64" s="190">
        <v>91200</v>
      </c>
      <c r="O64" s="189">
        <v>0</v>
      </c>
      <c r="P64" s="190">
        <v>0</v>
      </c>
      <c r="Q64" s="138">
        <f t="shared" si="5"/>
        <v>610600</v>
      </c>
      <c r="R64" s="102"/>
      <c r="S64" s="101">
        <v>65</v>
      </c>
      <c r="T64" s="133" t="s">
        <v>61</v>
      </c>
      <c r="U64" s="189">
        <v>326800</v>
      </c>
      <c r="V64" s="190">
        <v>192600</v>
      </c>
      <c r="W64" s="190">
        <v>91200</v>
      </c>
      <c r="X64" s="189">
        <v>0</v>
      </c>
      <c r="Y64" s="190">
        <v>0</v>
      </c>
      <c r="Z64" s="138">
        <f t="shared" si="6"/>
        <v>610600</v>
      </c>
      <c r="AA64" s="102"/>
      <c r="AB64" s="101">
        <v>65</v>
      </c>
      <c r="AC64" s="133" t="s">
        <v>61</v>
      </c>
      <c r="AD64" s="51">
        <f>Total!C64-Auszahlungen!C64-Auszahlungen!L64-Auszahlungen!U64</f>
        <v>326700</v>
      </c>
      <c r="AE64" s="116">
        <f>Total!D64-Auszahlungen!D64-Auszahlungen!M64-Auszahlungen!V64</f>
        <v>192700</v>
      </c>
      <c r="AF64" s="116">
        <f>Total!E64-Auszahlungen!E64-Auszahlungen!N64-Auszahlungen!W64</f>
        <v>91700</v>
      </c>
      <c r="AG64" s="51">
        <f>Total!F64-Auszahlungen!F64-Auszahlungen!O64-Auszahlungen!X64</f>
        <v>0</v>
      </c>
      <c r="AH64" s="116">
        <f>Total!G64-Auszahlungen!G64-Auszahlungen!P64-Auszahlungen!Y64</f>
        <v>0</v>
      </c>
      <c r="AI64" s="138">
        <f t="shared" si="7"/>
        <v>611100</v>
      </c>
    </row>
    <row r="65" spans="1:35" x14ac:dyDescent="0.2">
      <c r="A65" s="101">
        <v>66</v>
      </c>
      <c r="B65" s="133" t="s">
        <v>62</v>
      </c>
      <c r="C65" s="189">
        <v>1300500</v>
      </c>
      <c r="D65" s="190">
        <v>686100</v>
      </c>
      <c r="E65" s="190">
        <v>88900</v>
      </c>
      <c r="F65" s="189">
        <v>80600</v>
      </c>
      <c r="G65" s="190">
        <v>0</v>
      </c>
      <c r="H65" s="138">
        <f t="shared" si="4"/>
        <v>2156100</v>
      </c>
      <c r="I65" s="102"/>
      <c r="J65" s="101">
        <v>66</v>
      </c>
      <c r="K65" s="133" t="s">
        <v>62</v>
      </c>
      <c r="L65" s="189">
        <v>1300500</v>
      </c>
      <c r="M65" s="190">
        <v>686100</v>
      </c>
      <c r="N65" s="190">
        <v>88900</v>
      </c>
      <c r="O65" s="189">
        <v>80600</v>
      </c>
      <c r="P65" s="190">
        <v>0</v>
      </c>
      <c r="Q65" s="138">
        <f t="shared" si="5"/>
        <v>2156100</v>
      </c>
      <c r="R65" s="102"/>
      <c r="S65" s="101">
        <v>66</v>
      </c>
      <c r="T65" s="133" t="s">
        <v>62</v>
      </c>
      <c r="U65" s="189">
        <v>1300500</v>
      </c>
      <c r="V65" s="190">
        <v>686100</v>
      </c>
      <c r="W65" s="190">
        <v>88900</v>
      </c>
      <c r="X65" s="189">
        <v>80600</v>
      </c>
      <c r="Y65" s="190">
        <v>0</v>
      </c>
      <c r="Z65" s="138">
        <f t="shared" si="6"/>
        <v>2156100</v>
      </c>
      <c r="AA65" s="102"/>
      <c r="AB65" s="101">
        <v>66</v>
      </c>
      <c r="AC65" s="133" t="s">
        <v>62</v>
      </c>
      <c r="AD65" s="51">
        <f>Total!C65-Auszahlungen!C65-Auszahlungen!L65-Auszahlungen!U65</f>
        <v>1300400</v>
      </c>
      <c r="AE65" s="116">
        <f>Total!D65-Auszahlungen!D65-Auszahlungen!M65-Auszahlungen!V65</f>
        <v>686000</v>
      </c>
      <c r="AF65" s="116">
        <f>Total!E65-Auszahlungen!E65-Auszahlungen!N65-Auszahlungen!W65</f>
        <v>89700</v>
      </c>
      <c r="AG65" s="51">
        <f>Total!F65-Auszahlungen!F65-Auszahlungen!O65-Auszahlungen!X65</f>
        <v>81100</v>
      </c>
      <c r="AH65" s="116">
        <f>Total!G65-Auszahlungen!G65-Auszahlungen!P65-Auszahlungen!Y65</f>
        <v>0</v>
      </c>
      <c r="AI65" s="138">
        <f t="shared" si="7"/>
        <v>2157200</v>
      </c>
    </row>
    <row r="66" spans="1:35" x14ac:dyDescent="0.2">
      <c r="A66" s="101">
        <v>67</v>
      </c>
      <c r="B66" s="133" t="s">
        <v>63</v>
      </c>
      <c r="C66" s="189">
        <v>278500</v>
      </c>
      <c r="D66" s="190">
        <v>344500</v>
      </c>
      <c r="E66" s="190">
        <v>150600</v>
      </c>
      <c r="F66" s="189">
        <v>0</v>
      </c>
      <c r="G66" s="190">
        <v>0</v>
      </c>
      <c r="H66" s="138">
        <f t="shared" si="4"/>
        <v>773600</v>
      </c>
      <c r="I66" s="102"/>
      <c r="J66" s="101">
        <v>67</v>
      </c>
      <c r="K66" s="133" t="s">
        <v>63</v>
      </c>
      <c r="L66" s="189">
        <v>278500</v>
      </c>
      <c r="M66" s="190">
        <v>344500</v>
      </c>
      <c r="N66" s="190">
        <v>150600</v>
      </c>
      <c r="O66" s="189">
        <v>0</v>
      </c>
      <c r="P66" s="190">
        <v>0</v>
      </c>
      <c r="Q66" s="138">
        <f t="shared" si="5"/>
        <v>773600</v>
      </c>
      <c r="R66" s="102"/>
      <c r="S66" s="101">
        <v>67</v>
      </c>
      <c r="T66" s="133" t="s">
        <v>63</v>
      </c>
      <c r="U66" s="189">
        <v>278500</v>
      </c>
      <c r="V66" s="190">
        <v>344500</v>
      </c>
      <c r="W66" s="190">
        <v>150600</v>
      </c>
      <c r="X66" s="189">
        <v>0</v>
      </c>
      <c r="Y66" s="190">
        <v>0</v>
      </c>
      <c r="Z66" s="138">
        <f t="shared" si="6"/>
        <v>773600</v>
      </c>
      <c r="AA66" s="102"/>
      <c r="AB66" s="101">
        <v>67</v>
      </c>
      <c r="AC66" s="133" t="s">
        <v>63</v>
      </c>
      <c r="AD66" s="51">
        <f>Total!C66-Auszahlungen!C66-Auszahlungen!L66-Auszahlungen!U66</f>
        <v>278500</v>
      </c>
      <c r="AE66" s="116">
        <f>Total!D66-Auszahlungen!D66-Auszahlungen!M66-Auszahlungen!V66</f>
        <v>344400</v>
      </c>
      <c r="AF66" s="116">
        <f>Total!E66-Auszahlungen!E66-Auszahlungen!N66-Auszahlungen!W66</f>
        <v>151700</v>
      </c>
      <c r="AG66" s="51">
        <f>Total!F66-Auszahlungen!F66-Auszahlungen!O66-Auszahlungen!X66</f>
        <v>0</v>
      </c>
      <c r="AH66" s="116">
        <f>Total!G66-Auszahlungen!G66-Auszahlungen!P66-Auszahlungen!Y66</f>
        <v>0</v>
      </c>
      <c r="AI66" s="138">
        <f t="shared" si="7"/>
        <v>774600</v>
      </c>
    </row>
    <row r="67" spans="1:35" x14ac:dyDescent="0.2">
      <c r="A67" s="101">
        <v>70</v>
      </c>
      <c r="B67" s="133" t="s">
        <v>64</v>
      </c>
      <c r="C67" s="189">
        <v>910800</v>
      </c>
      <c r="D67" s="190">
        <v>217000</v>
      </c>
      <c r="E67" s="190">
        <v>191700</v>
      </c>
      <c r="F67" s="189">
        <v>0</v>
      </c>
      <c r="G67" s="190">
        <v>0</v>
      </c>
      <c r="H67" s="138">
        <f t="shared" si="4"/>
        <v>1319500</v>
      </c>
      <c r="I67" s="102"/>
      <c r="J67" s="101">
        <v>70</v>
      </c>
      <c r="K67" s="133" t="s">
        <v>64</v>
      </c>
      <c r="L67" s="189">
        <v>910800</v>
      </c>
      <c r="M67" s="190">
        <v>217000</v>
      </c>
      <c r="N67" s="190">
        <v>191700</v>
      </c>
      <c r="O67" s="189">
        <v>0</v>
      </c>
      <c r="P67" s="190">
        <v>0</v>
      </c>
      <c r="Q67" s="138">
        <f t="shared" si="5"/>
        <v>1319500</v>
      </c>
      <c r="R67" s="102"/>
      <c r="S67" s="101">
        <v>70</v>
      </c>
      <c r="T67" s="133" t="s">
        <v>64</v>
      </c>
      <c r="U67" s="189">
        <v>910800</v>
      </c>
      <c r="V67" s="190">
        <v>217000</v>
      </c>
      <c r="W67" s="190">
        <v>191700</v>
      </c>
      <c r="X67" s="189">
        <v>0</v>
      </c>
      <c r="Y67" s="190">
        <v>0</v>
      </c>
      <c r="Z67" s="138">
        <f t="shared" si="6"/>
        <v>1319500</v>
      </c>
      <c r="AA67" s="102"/>
      <c r="AB67" s="101">
        <v>70</v>
      </c>
      <c r="AC67" s="133" t="s">
        <v>64</v>
      </c>
      <c r="AD67" s="51">
        <f>Total!C67-Auszahlungen!C67-Auszahlungen!L67-Auszahlungen!U67</f>
        <v>910800</v>
      </c>
      <c r="AE67" s="116">
        <f>Total!D67-Auszahlungen!D67-Auszahlungen!M67-Auszahlungen!V67</f>
        <v>217100</v>
      </c>
      <c r="AF67" s="116">
        <f>Total!E67-Auszahlungen!E67-Auszahlungen!N67-Auszahlungen!W67</f>
        <v>193300</v>
      </c>
      <c r="AG67" s="51">
        <f>Total!F67-Auszahlungen!F67-Auszahlungen!O67-Auszahlungen!X67</f>
        <v>0</v>
      </c>
      <c r="AH67" s="116">
        <f>Total!G67-Auszahlungen!G67-Auszahlungen!P67-Auszahlungen!Y67</f>
        <v>0</v>
      </c>
      <c r="AI67" s="138">
        <f t="shared" si="7"/>
        <v>1321200</v>
      </c>
    </row>
    <row r="68" spans="1:35" x14ac:dyDescent="0.2">
      <c r="A68" s="101">
        <v>71</v>
      </c>
      <c r="B68" s="133" t="s">
        <v>65</v>
      </c>
      <c r="C68" s="189">
        <v>388400</v>
      </c>
      <c r="D68" s="190">
        <v>158700</v>
      </c>
      <c r="E68" s="190">
        <v>149300</v>
      </c>
      <c r="F68" s="189">
        <v>0</v>
      </c>
      <c r="G68" s="190">
        <v>0</v>
      </c>
      <c r="H68" s="138">
        <f t="shared" si="4"/>
        <v>696400</v>
      </c>
      <c r="I68" s="102"/>
      <c r="J68" s="101">
        <v>71</v>
      </c>
      <c r="K68" s="133" t="s">
        <v>65</v>
      </c>
      <c r="L68" s="189">
        <v>388400</v>
      </c>
      <c r="M68" s="190">
        <v>158700</v>
      </c>
      <c r="N68" s="190">
        <v>149300</v>
      </c>
      <c r="O68" s="189">
        <v>0</v>
      </c>
      <c r="P68" s="190">
        <v>0</v>
      </c>
      <c r="Q68" s="138">
        <f t="shared" si="5"/>
        <v>696400</v>
      </c>
      <c r="R68" s="102"/>
      <c r="S68" s="101">
        <v>71</v>
      </c>
      <c r="T68" s="133" t="s">
        <v>65</v>
      </c>
      <c r="U68" s="189">
        <v>388400</v>
      </c>
      <c r="V68" s="190">
        <v>158700</v>
      </c>
      <c r="W68" s="190">
        <v>149300</v>
      </c>
      <c r="X68" s="189">
        <v>0</v>
      </c>
      <c r="Y68" s="190">
        <v>0</v>
      </c>
      <c r="Z68" s="138">
        <f t="shared" si="6"/>
        <v>696400</v>
      </c>
      <c r="AA68" s="102"/>
      <c r="AB68" s="101">
        <v>71</v>
      </c>
      <c r="AC68" s="133" t="s">
        <v>65</v>
      </c>
      <c r="AD68" s="51">
        <f>Total!C68-Auszahlungen!C68-Auszahlungen!L68-Auszahlungen!U68</f>
        <v>388200</v>
      </c>
      <c r="AE68" s="116">
        <f>Total!D68-Auszahlungen!D68-Auszahlungen!M68-Auszahlungen!V68</f>
        <v>158500</v>
      </c>
      <c r="AF68" s="116">
        <f>Total!E68-Auszahlungen!E68-Auszahlungen!N68-Auszahlungen!W68</f>
        <v>150500</v>
      </c>
      <c r="AG68" s="51">
        <f>Total!F68-Auszahlungen!F68-Auszahlungen!O68-Auszahlungen!X68</f>
        <v>0</v>
      </c>
      <c r="AH68" s="116">
        <f>Total!G68-Auszahlungen!G68-Auszahlungen!P68-Auszahlungen!Y68</f>
        <v>0</v>
      </c>
      <c r="AI68" s="138">
        <f t="shared" si="7"/>
        <v>697200</v>
      </c>
    </row>
    <row r="69" spans="1:35" x14ac:dyDescent="0.2">
      <c r="A69" s="101">
        <v>72</v>
      </c>
      <c r="B69" s="133" t="s">
        <v>66</v>
      </c>
      <c r="C69" s="189">
        <v>902000</v>
      </c>
      <c r="D69" s="190">
        <v>489100</v>
      </c>
      <c r="E69" s="190">
        <v>324900</v>
      </c>
      <c r="F69" s="189">
        <v>2200</v>
      </c>
      <c r="G69" s="190">
        <v>0</v>
      </c>
      <c r="H69" s="138">
        <f t="shared" si="4"/>
        <v>1718200</v>
      </c>
      <c r="I69" s="102"/>
      <c r="J69" s="101">
        <v>72</v>
      </c>
      <c r="K69" s="133" t="s">
        <v>66</v>
      </c>
      <c r="L69" s="189">
        <v>902000</v>
      </c>
      <c r="M69" s="190">
        <v>489100</v>
      </c>
      <c r="N69" s="190">
        <v>324900</v>
      </c>
      <c r="O69" s="189">
        <v>2200</v>
      </c>
      <c r="P69" s="190">
        <v>0</v>
      </c>
      <c r="Q69" s="138">
        <f t="shared" si="5"/>
        <v>1718200</v>
      </c>
      <c r="R69" s="102"/>
      <c r="S69" s="101">
        <v>72</v>
      </c>
      <c r="T69" s="133" t="s">
        <v>66</v>
      </c>
      <c r="U69" s="189">
        <v>902000</v>
      </c>
      <c r="V69" s="190">
        <v>489100</v>
      </c>
      <c r="W69" s="190">
        <v>324900</v>
      </c>
      <c r="X69" s="189">
        <v>2200</v>
      </c>
      <c r="Y69" s="190">
        <v>0</v>
      </c>
      <c r="Z69" s="138">
        <f t="shared" si="6"/>
        <v>1718200</v>
      </c>
      <c r="AA69" s="102"/>
      <c r="AB69" s="101">
        <v>72</v>
      </c>
      <c r="AC69" s="133" t="s">
        <v>66</v>
      </c>
      <c r="AD69" s="51">
        <f>Total!C69-Auszahlungen!C69-Auszahlungen!L69-Auszahlungen!U69</f>
        <v>901800</v>
      </c>
      <c r="AE69" s="116">
        <f>Total!D69-Auszahlungen!D69-Auszahlungen!M69-Auszahlungen!V69</f>
        <v>489100</v>
      </c>
      <c r="AF69" s="116">
        <f>Total!E69-Auszahlungen!E69-Auszahlungen!N69-Auszahlungen!W69</f>
        <v>327500</v>
      </c>
      <c r="AG69" s="51">
        <f>Total!F69-Auszahlungen!F69-Auszahlungen!O69-Auszahlungen!X69</f>
        <v>2300</v>
      </c>
      <c r="AH69" s="116">
        <f>Total!G69-Auszahlungen!G69-Auszahlungen!P69-Auszahlungen!Y69</f>
        <v>0</v>
      </c>
      <c r="AI69" s="138">
        <f t="shared" si="7"/>
        <v>1720700</v>
      </c>
    </row>
    <row r="70" spans="1:35" x14ac:dyDescent="0.2">
      <c r="A70" s="101">
        <v>73</v>
      </c>
      <c r="B70" s="133" t="s">
        <v>67</v>
      </c>
      <c r="C70" s="189">
        <v>1270000</v>
      </c>
      <c r="D70" s="190">
        <v>569800</v>
      </c>
      <c r="E70" s="190">
        <v>738000</v>
      </c>
      <c r="F70" s="189">
        <v>21900</v>
      </c>
      <c r="G70" s="190">
        <v>0</v>
      </c>
      <c r="H70" s="138">
        <f t="shared" si="4"/>
        <v>2599700</v>
      </c>
      <c r="I70" s="102"/>
      <c r="J70" s="101">
        <v>73</v>
      </c>
      <c r="K70" s="133" t="s">
        <v>67</v>
      </c>
      <c r="L70" s="189">
        <v>1270000</v>
      </c>
      <c r="M70" s="190">
        <v>569800</v>
      </c>
      <c r="N70" s="190">
        <v>738000</v>
      </c>
      <c r="O70" s="189">
        <v>21900</v>
      </c>
      <c r="P70" s="190">
        <v>0</v>
      </c>
      <c r="Q70" s="138">
        <f t="shared" si="5"/>
        <v>2599700</v>
      </c>
      <c r="R70" s="102"/>
      <c r="S70" s="101">
        <v>73</v>
      </c>
      <c r="T70" s="133" t="s">
        <v>67</v>
      </c>
      <c r="U70" s="189">
        <v>1270000</v>
      </c>
      <c r="V70" s="190">
        <v>569800</v>
      </c>
      <c r="W70" s="190">
        <v>738000</v>
      </c>
      <c r="X70" s="189">
        <v>21900</v>
      </c>
      <c r="Y70" s="190">
        <v>0</v>
      </c>
      <c r="Z70" s="138">
        <f t="shared" si="6"/>
        <v>2599700</v>
      </c>
      <c r="AA70" s="102"/>
      <c r="AB70" s="101">
        <v>73</v>
      </c>
      <c r="AC70" s="133" t="s">
        <v>67</v>
      </c>
      <c r="AD70" s="51">
        <f>Total!C70-Auszahlungen!C70-Auszahlungen!L70-Auszahlungen!U70</f>
        <v>1270000</v>
      </c>
      <c r="AE70" s="116">
        <f>Total!D70-Auszahlungen!D70-Auszahlungen!M70-Auszahlungen!V70</f>
        <v>569600</v>
      </c>
      <c r="AF70" s="116">
        <f>Total!E70-Auszahlungen!E70-Auszahlungen!N70-Auszahlungen!W70</f>
        <v>744000</v>
      </c>
      <c r="AG70" s="51">
        <f>Total!F70-Auszahlungen!F70-Auszahlungen!O70-Auszahlungen!X70</f>
        <v>23000</v>
      </c>
      <c r="AH70" s="116">
        <f>Total!G70-Auszahlungen!G70-Auszahlungen!P70-Auszahlungen!Y70</f>
        <v>0</v>
      </c>
      <c r="AI70" s="138">
        <f t="shared" si="7"/>
        <v>2606600</v>
      </c>
    </row>
    <row r="71" spans="1:35" x14ac:dyDescent="0.2">
      <c r="A71" s="101">
        <v>76</v>
      </c>
      <c r="B71" s="133" t="s">
        <v>68</v>
      </c>
      <c r="C71" s="189">
        <v>331500</v>
      </c>
      <c r="D71" s="190">
        <v>15700</v>
      </c>
      <c r="E71" s="190">
        <v>330000</v>
      </c>
      <c r="F71" s="189">
        <v>0</v>
      </c>
      <c r="G71" s="190">
        <v>0</v>
      </c>
      <c r="H71" s="138">
        <f t="shared" si="4"/>
        <v>677200</v>
      </c>
      <c r="I71" s="102"/>
      <c r="J71" s="101">
        <v>76</v>
      </c>
      <c r="K71" s="133" t="s">
        <v>68</v>
      </c>
      <c r="L71" s="189">
        <v>331500</v>
      </c>
      <c r="M71" s="190">
        <v>15700</v>
      </c>
      <c r="N71" s="190">
        <v>330000</v>
      </c>
      <c r="O71" s="189">
        <v>0</v>
      </c>
      <c r="P71" s="190">
        <v>0</v>
      </c>
      <c r="Q71" s="138">
        <f t="shared" si="5"/>
        <v>677200</v>
      </c>
      <c r="R71" s="102"/>
      <c r="S71" s="101">
        <v>76</v>
      </c>
      <c r="T71" s="133" t="s">
        <v>68</v>
      </c>
      <c r="U71" s="189">
        <v>331500</v>
      </c>
      <c r="V71" s="190">
        <v>15700</v>
      </c>
      <c r="W71" s="190">
        <v>330000</v>
      </c>
      <c r="X71" s="189">
        <v>0</v>
      </c>
      <c r="Y71" s="190">
        <v>0</v>
      </c>
      <c r="Z71" s="138">
        <f t="shared" si="6"/>
        <v>677200</v>
      </c>
      <c r="AA71" s="102"/>
      <c r="AB71" s="101">
        <v>76</v>
      </c>
      <c r="AC71" s="133" t="s">
        <v>68</v>
      </c>
      <c r="AD71" s="51">
        <f>Total!C71-Auszahlungen!C71-Auszahlungen!L71-Auszahlungen!U71</f>
        <v>331300</v>
      </c>
      <c r="AE71" s="116">
        <f>Total!D71-Auszahlungen!D71-Auszahlungen!M71-Auszahlungen!V71</f>
        <v>15800</v>
      </c>
      <c r="AF71" s="116">
        <f>Total!E71-Auszahlungen!E71-Auszahlungen!N71-Auszahlungen!W71</f>
        <v>332800</v>
      </c>
      <c r="AG71" s="51">
        <f>Total!F71-Auszahlungen!F71-Auszahlungen!O71-Auszahlungen!X71</f>
        <v>0</v>
      </c>
      <c r="AH71" s="116">
        <f>Total!G71-Auszahlungen!G71-Auszahlungen!P71-Auszahlungen!Y71</f>
        <v>0</v>
      </c>
      <c r="AI71" s="138">
        <f t="shared" si="7"/>
        <v>679900</v>
      </c>
    </row>
    <row r="72" spans="1:35" x14ac:dyDescent="0.2">
      <c r="A72" s="101">
        <v>77</v>
      </c>
      <c r="B72" s="133" t="s">
        <v>69</v>
      </c>
      <c r="C72" s="189">
        <v>629100</v>
      </c>
      <c r="D72" s="190">
        <v>0</v>
      </c>
      <c r="E72" s="190">
        <v>172000</v>
      </c>
      <c r="F72" s="189">
        <v>0</v>
      </c>
      <c r="G72" s="190">
        <v>0</v>
      </c>
      <c r="H72" s="138">
        <f t="shared" ref="H72:H84" si="8">SUM(C72:G72)</f>
        <v>801100</v>
      </c>
      <c r="I72" s="102"/>
      <c r="J72" s="101">
        <v>77</v>
      </c>
      <c r="K72" s="133" t="s">
        <v>69</v>
      </c>
      <c r="L72" s="189">
        <v>629100</v>
      </c>
      <c r="M72" s="190">
        <v>0</v>
      </c>
      <c r="N72" s="190">
        <v>172000</v>
      </c>
      <c r="O72" s="189">
        <v>0</v>
      </c>
      <c r="P72" s="190">
        <v>0</v>
      </c>
      <c r="Q72" s="138">
        <f t="shared" ref="Q72:Q84" si="9">SUM(L72:P72)</f>
        <v>801100</v>
      </c>
      <c r="R72" s="102"/>
      <c r="S72" s="101">
        <v>77</v>
      </c>
      <c r="T72" s="133" t="s">
        <v>69</v>
      </c>
      <c r="U72" s="189">
        <v>629100</v>
      </c>
      <c r="V72" s="190">
        <v>0</v>
      </c>
      <c r="W72" s="190">
        <v>172000</v>
      </c>
      <c r="X72" s="189">
        <v>0</v>
      </c>
      <c r="Y72" s="190">
        <v>0</v>
      </c>
      <c r="Z72" s="138">
        <f t="shared" ref="Z72:Z84" si="10">SUM(U72:Y72)</f>
        <v>801100</v>
      </c>
      <c r="AA72" s="102"/>
      <c r="AB72" s="101">
        <v>77</v>
      </c>
      <c r="AC72" s="133" t="s">
        <v>69</v>
      </c>
      <c r="AD72" s="51">
        <f>Total!C72-Auszahlungen!C72-Auszahlungen!L72-Auszahlungen!U72</f>
        <v>629100</v>
      </c>
      <c r="AE72" s="116">
        <f>Total!D72-Auszahlungen!D72-Auszahlungen!M72-Auszahlungen!V72</f>
        <v>0</v>
      </c>
      <c r="AF72" s="116">
        <f>Total!E72-Auszahlungen!E72-Auszahlungen!N72-Auszahlungen!W72</f>
        <v>173500</v>
      </c>
      <c r="AG72" s="51">
        <f>Total!F72-Auszahlungen!F72-Auszahlungen!O72-Auszahlungen!X72</f>
        <v>0</v>
      </c>
      <c r="AH72" s="116">
        <f>Total!G72-Auszahlungen!G72-Auszahlungen!P72-Auszahlungen!Y72</f>
        <v>0</v>
      </c>
      <c r="AI72" s="138">
        <f t="shared" ref="AI72:AI84" si="11">SUM(AD72:AH72)</f>
        <v>802600</v>
      </c>
    </row>
    <row r="73" spans="1:35" x14ac:dyDescent="0.2">
      <c r="A73" s="101">
        <v>78</v>
      </c>
      <c r="B73" s="133" t="s">
        <v>70</v>
      </c>
      <c r="C73" s="189">
        <v>1466900</v>
      </c>
      <c r="D73" s="190">
        <v>0</v>
      </c>
      <c r="E73" s="190">
        <v>331800</v>
      </c>
      <c r="F73" s="189">
        <v>0</v>
      </c>
      <c r="G73" s="190">
        <v>0</v>
      </c>
      <c r="H73" s="138">
        <f t="shared" si="8"/>
        <v>1798700</v>
      </c>
      <c r="I73" s="102"/>
      <c r="J73" s="101">
        <v>78</v>
      </c>
      <c r="K73" s="133" t="s">
        <v>70</v>
      </c>
      <c r="L73" s="189">
        <v>1466900</v>
      </c>
      <c r="M73" s="190">
        <v>0</v>
      </c>
      <c r="N73" s="190">
        <v>331800</v>
      </c>
      <c r="O73" s="189">
        <v>0</v>
      </c>
      <c r="P73" s="190">
        <v>0</v>
      </c>
      <c r="Q73" s="138">
        <f t="shared" si="9"/>
        <v>1798700</v>
      </c>
      <c r="R73" s="102"/>
      <c r="S73" s="101">
        <v>78</v>
      </c>
      <c r="T73" s="133" t="s">
        <v>70</v>
      </c>
      <c r="U73" s="189">
        <v>1466900</v>
      </c>
      <c r="V73" s="190">
        <v>0</v>
      </c>
      <c r="W73" s="190">
        <v>331800</v>
      </c>
      <c r="X73" s="189">
        <v>0</v>
      </c>
      <c r="Y73" s="190">
        <v>0</v>
      </c>
      <c r="Z73" s="138">
        <f t="shared" si="10"/>
        <v>1798700</v>
      </c>
      <c r="AA73" s="102"/>
      <c r="AB73" s="101">
        <v>78</v>
      </c>
      <c r="AC73" s="133" t="s">
        <v>70</v>
      </c>
      <c r="AD73" s="51">
        <f>Total!C73-Auszahlungen!C73-Auszahlungen!L73-Auszahlungen!U73</f>
        <v>1466800</v>
      </c>
      <c r="AE73" s="116">
        <f>Total!D73-Auszahlungen!D73-Auszahlungen!M73-Auszahlungen!V73</f>
        <v>0</v>
      </c>
      <c r="AF73" s="116">
        <f>Total!E73-Auszahlungen!E73-Auszahlungen!N73-Auszahlungen!W73</f>
        <v>334600</v>
      </c>
      <c r="AG73" s="51">
        <f>Total!F73-Auszahlungen!F73-Auszahlungen!O73-Auszahlungen!X73</f>
        <v>0</v>
      </c>
      <c r="AH73" s="116">
        <f>Total!G73-Auszahlungen!G73-Auszahlungen!P73-Auszahlungen!Y73</f>
        <v>0</v>
      </c>
      <c r="AI73" s="138">
        <f t="shared" si="11"/>
        <v>1801400</v>
      </c>
    </row>
    <row r="74" spans="1:35" x14ac:dyDescent="0.2">
      <c r="A74" s="101">
        <v>79</v>
      </c>
      <c r="B74" s="133" t="s">
        <v>71</v>
      </c>
      <c r="C74" s="189">
        <v>1524600</v>
      </c>
      <c r="D74" s="190">
        <v>0</v>
      </c>
      <c r="E74" s="190">
        <v>327100</v>
      </c>
      <c r="F74" s="189">
        <v>63200</v>
      </c>
      <c r="G74" s="190">
        <v>0</v>
      </c>
      <c r="H74" s="138">
        <f t="shared" si="8"/>
        <v>1914900</v>
      </c>
      <c r="I74" s="102"/>
      <c r="J74" s="101">
        <v>79</v>
      </c>
      <c r="K74" s="133" t="s">
        <v>71</v>
      </c>
      <c r="L74" s="189">
        <v>1524600</v>
      </c>
      <c r="M74" s="190">
        <v>0</v>
      </c>
      <c r="N74" s="190">
        <v>327100</v>
      </c>
      <c r="O74" s="189">
        <v>63200</v>
      </c>
      <c r="P74" s="190">
        <v>0</v>
      </c>
      <c r="Q74" s="138">
        <f t="shared" si="9"/>
        <v>1914900</v>
      </c>
      <c r="R74" s="102"/>
      <c r="S74" s="101">
        <v>79</v>
      </c>
      <c r="T74" s="133" t="s">
        <v>71</v>
      </c>
      <c r="U74" s="189">
        <v>1524600</v>
      </c>
      <c r="V74" s="190">
        <v>0</v>
      </c>
      <c r="W74" s="190">
        <v>327100</v>
      </c>
      <c r="X74" s="189">
        <v>63200</v>
      </c>
      <c r="Y74" s="190">
        <v>0</v>
      </c>
      <c r="Z74" s="138">
        <f t="shared" si="10"/>
        <v>1914900</v>
      </c>
      <c r="AA74" s="102"/>
      <c r="AB74" s="101">
        <v>79</v>
      </c>
      <c r="AC74" s="133" t="s">
        <v>71</v>
      </c>
      <c r="AD74" s="51">
        <f>Total!C74-Auszahlungen!C74-Auszahlungen!L74-Auszahlungen!U74</f>
        <v>1524600</v>
      </c>
      <c r="AE74" s="116">
        <f>Total!D74-Auszahlungen!D74-Auszahlungen!M74-Auszahlungen!V74</f>
        <v>0</v>
      </c>
      <c r="AF74" s="116">
        <f>Total!E74-Auszahlungen!E74-Auszahlungen!N74-Auszahlungen!W74</f>
        <v>329800</v>
      </c>
      <c r="AG74" s="51">
        <f>Total!F74-Auszahlungen!F74-Auszahlungen!O74-Auszahlungen!X74</f>
        <v>64500</v>
      </c>
      <c r="AH74" s="116">
        <f>Total!G74-Auszahlungen!G74-Auszahlungen!P74-Auszahlungen!Y74</f>
        <v>0</v>
      </c>
      <c r="AI74" s="138">
        <f t="shared" si="11"/>
        <v>1918900</v>
      </c>
    </row>
    <row r="75" spans="1:35" x14ac:dyDescent="0.2">
      <c r="A75" s="101">
        <v>80</v>
      </c>
      <c r="B75" s="133" t="s">
        <v>72</v>
      </c>
      <c r="C75" s="189">
        <v>846300</v>
      </c>
      <c r="D75" s="190">
        <v>226200</v>
      </c>
      <c r="E75" s="190">
        <v>231800</v>
      </c>
      <c r="F75" s="189">
        <v>11600</v>
      </c>
      <c r="G75" s="190">
        <v>0</v>
      </c>
      <c r="H75" s="138">
        <f t="shared" si="8"/>
        <v>1315900</v>
      </c>
      <c r="I75" s="102"/>
      <c r="J75" s="101">
        <v>80</v>
      </c>
      <c r="K75" s="133" t="s">
        <v>72</v>
      </c>
      <c r="L75" s="189">
        <v>846300</v>
      </c>
      <c r="M75" s="190">
        <v>226200</v>
      </c>
      <c r="N75" s="190">
        <v>231800</v>
      </c>
      <c r="O75" s="189">
        <v>11600</v>
      </c>
      <c r="P75" s="190">
        <v>0</v>
      </c>
      <c r="Q75" s="138">
        <f t="shared" si="9"/>
        <v>1315900</v>
      </c>
      <c r="R75" s="102"/>
      <c r="S75" s="101">
        <v>80</v>
      </c>
      <c r="T75" s="133" t="s">
        <v>72</v>
      </c>
      <c r="U75" s="189">
        <v>846300</v>
      </c>
      <c r="V75" s="190">
        <v>226200</v>
      </c>
      <c r="W75" s="190">
        <v>231800</v>
      </c>
      <c r="X75" s="189">
        <v>11600</v>
      </c>
      <c r="Y75" s="190">
        <v>0</v>
      </c>
      <c r="Z75" s="138">
        <f t="shared" si="10"/>
        <v>1315900</v>
      </c>
      <c r="AA75" s="102"/>
      <c r="AB75" s="101">
        <v>80</v>
      </c>
      <c r="AC75" s="133" t="s">
        <v>72</v>
      </c>
      <c r="AD75" s="51">
        <f>Total!C75-Auszahlungen!C75-Auszahlungen!L75-Auszahlungen!U75</f>
        <v>846300</v>
      </c>
      <c r="AE75" s="116">
        <f>Total!D75-Auszahlungen!D75-Auszahlungen!M75-Auszahlungen!V75</f>
        <v>226000</v>
      </c>
      <c r="AF75" s="116">
        <f>Total!E75-Auszahlungen!E75-Auszahlungen!N75-Auszahlungen!W75</f>
        <v>233900</v>
      </c>
      <c r="AG75" s="51">
        <f>Total!F75-Auszahlungen!F75-Auszahlungen!O75-Auszahlungen!X75</f>
        <v>11600</v>
      </c>
      <c r="AH75" s="116">
        <f>Total!G75-Auszahlungen!G75-Auszahlungen!P75-Auszahlungen!Y75</f>
        <v>0</v>
      </c>
      <c r="AI75" s="138">
        <f t="shared" si="11"/>
        <v>1317800</v>
      </c>
    </row>
    <row r="76" spans="1:35" x14ac:dyDescent="0.2">
      <c r="A76" s="101">
        <v>81</v>
      </c>
      <c r="B76" s="133" t="s">
        <v>73</v>
      </c>
      <c r="C76" s="189">
        <v>0</v>
      </c>
      <c r="D76" s="190">
        <v>0</v>
      </c>
      <c r="E76" s="190">
        <v>0</v>
      </c>
      <c r="F76" s="189">
        <v>623800</v>
      </c>
      <c r="G76" s="190">
        <v>0</v>
      </c>
      <c r="H76" s="138">
        <f t="shared" si="8"/>
        <v>623800</v>
      </c>
      <c r="I76" s="102"/>
      <c r="J76" s="101">
        <v>81</v>
      </c>
      <c r="K76" s="133" t="s">
        <v>73</v>
      </c>
      <c r="L76" s="189">
        <v>0</v>
      </c>
      <c r="M76" s="190">
        <v>0</v>
      </c>
      <c r="N76" s="190">
        <v>0</v>
      </c>
      <c r="O76" s="189">
        <v>623800</v>
      </c>
      <c r="P76" s="190">
        <v>0</v>
      </c>
      <c r="Q76" s="138">
        <f t="shared" si="9"/>
        <v>623800</v>
      </c>
      <c r="R76" s="102"/>
      <c r="S76" s="101">
        <v>81</v>
      </c>
      <c r="T76" s="133" t="s">
        <v>73</v>
      </c>
      <c r="U76" s="189">
        <v>0</v>
      </c>
      <c r="V76" s="190">
        <v>0</v>
      </c>
      <c r="W76" s="190">
        <v>0</v>
      </c>
      <c r="X76" s="189">
        <v>623800</v>
      </c>
      <c r="Y76" s="190">
        <v>0</v>
      </c>
      <c r="Z76" s="138">
        <f t="shared" si="10"/>
        <v>623800</v>
      </c>
      <c r="AA76" s="102"/>
      <c r="AB76" s="101">
        <v>81</v>
      </c>
      <c r="AC76" s="133" t="s">
        <v>73</v>
      </c>
      <c r="AD76" s="51">
        <f>Total!C76-Auszahlungen!C76-Auszahlungen!L76-Auszahlungen!U76</f>
        <v>0</v>
      </c>
      <c r="AE76" s="116">
        <f>Total!D76-Auszahlungen!D76-Auszahlungen!M76-Auszahlungen!V76</f>
        <v>0</v>
      </c>
      <c r="AF76" s="116">
        <f>Total!E76-Auszahlungen!E76-Auszahlungen!N76-Auszahlungen!W76</f>
        <v>0</v>
      </c>
      <c r="AG76" s="51">
        <f>Total!F76-Auszahlungen!F76-Auszahlungen!O76-Auszahlungen!X76</f>
        <v>626800</v>
      </c>
      <c r="AH76" s="116">
        <f>Total!G76-Auszahlungen!G76-Auszahlungen!P76-Auszahlungen!Y76</f>
        <v>0</v>
      </c>
      <c r="AI76" s="138">
        <f t="shared" si="11"/>
        <v>626800</v>
      </c>
    </row>
    <row r="77" spans="1:35" x14ac:dyDescent="0.2">
      <c r="A77" s="101">
        <v>83</v>
      </c>
      <c r="B77" s="133" t="s">
        <v>74</v>
      </c>
      <c r="C77" s="189">
        <v>0</v>
      </c>
      <c r="D77" s="190">
        <v>0</v>
      </c>
      <c r="E77" s="190">
        <v>0</v>
      </c>
      <c r="F77" s="189">
        <v>0</v>
      </c>
      <c r="G77" s="190">
        <v>0</v>
      </c>
      <c r="H77" s="138">
        <f t="shared" si="8"/>
        <v>0</v>
      </c>
      <c r="I77" s="102"/>
      <c r="J77" s="101">
        <v>83</v>
      </c>
      <c r="K77" s="133" t="s">
        <v>74</v>
      </c>
      <c r="L77" s="189">
        <v>0</v>
      </c>
      <c r="M77" s="190">
        <v>0</v>
      </c>
      <c r="N77" s="190">
        <v>0</v>
      </c>
      <c r="O77" s="189">
        <v>0</v>
      </c>
      <c r="P77" s="190">
        <v>0</v>
      </c>
      <c r="Q77" s="138">
        <f t="shared" si="9"/>
        <v>0</v>
      </c>
      <c r="R77" s="102"/>
      <c r="S77" s="101">
        <v>83</v>
      </c>
      <c r="T77" s="133" t="s">
        <v>74</v>
      </c>
      <c r="U77" s="189">
        <v>0</v>
      </c>
      <c r="V77" s="190">
        <v>0</v>
      </c>
      <c r="W77" s="190">
        <v>0</v>
      </c>
      <c r="X77" s="189">
        <v>0</v>
      </c>
      <c r="Y77" s="190">
        <v>0</v>
      </c>
      <c r="Z77" s="138">
        <f t="shared" si="10"/>
        <v>0</v>
      </c>
      <c r="AA77" s="102"/>
      <c r="AB77" s="101">
        <v>83</v>
      </c>
      <c r="AC77" s="133" t="s">
        <v>74</v>
      </c>
      <c r="AD77" s="51">
        <f>Total!C77-Auszahlungen!C77-Auszahlungen!L77-Auszahlungen!U77</f>
        <v>0</v>
      </c>
      <c r="AE77" s="116">
        <f>Total!D77-Auszahlungen!D77-Auszahlungen!M77-Auszahlungen!V77</f>
        <v>0</v>
      </c>
      <c r="AF77" s="116">
        <f>Total!E77-Auszahlungen!E77-Auszahlungen!N77-Auszahlungen!W77</f>
        <v>0</v>
      </c>
      <c r="AG77" s="51">
        <f>Total!F77-Auszahlungen!F77-Auszahlungen!O77-Auszahlungen!X77</f>
        <v>0</v>
      </c>
      <c r="AH77" s="116">
        <f>Total!G77-Auszahlungen!G77-Auszahlungen!P77-Auszahlungen!Y77</f>
        <v>0</v>
      </c>
      <c r="AI77" s="138">
        <f t="shared" si="11"/>
        <v>0</v>
      </c>
    </row>
    <row r="78" spans="1:35" x14ac:dyDescent="0.2">
      <c r="A78" s="101">
        <v>84</v>
      </c>
      <c r="B78" s="133" t="s">
        <v>75</v>
      </c>
      <c r="C78" s="189">
        <v>0</v>
      </c>
      <c r="D78" s="190">
        <v>136200</v>
      </c>
      <c r="E78" s="190">
        <v>73200</v>
      </c>
      <c r="F78" s="189">
        <v>0</v>
      </c>
      <c r="G78" s="190">
        <v>0</v>
      </c>
      <c r="H78" s="138">
        <f t="shared" si="8"/>
        <v>209400</v>
      </c>
      <c r="I78" s="102"/>
      <c r="J78" s="101">
        <v>84</v>
      </c>
      <c r="K78" s="133" t="s">
        <v>75</v>
      </c>
      <c r="L78" s="189">
        <v>0</v>
      </c>
      <c r="M78" s="190">
        <v>136200</v>
      </c>
      <c r="N78" s="190">
        <v>73200</v>
      </c>
      <c r="O78" s="189">
        <v>0</v>
      </c>
      <c r="P78" s="190">
        <v>0</v>
      </c>
      <c r="Q78" s="138">
        <f t="shared" si="9"/>
        <v>209400</v>
      </c>
      <c r="R78" s="102"/>
      <c r="S78" s="101">
        <v>84</v>
      </c>
      <c r="T78" s="133" t="s">
        <v>75</v>
      </c>
      <c r="U78" s="189">
        <v>0</v>
      </c>
      <c r="V78" s="190">
        <v>136200</v>
      </c>
      <c r="W78" s="190">
        <v>73200</v>
      </c>
      <c r="X78" s="189">
        <v>0</v>
      </c>
      <c r="Y78" s="190">
        <v>0</v>
      </c>
      <c r="Z78" s="138">
        <f t="shared" si="10"/>
        <v>209400</v>
      </c>
      <c r="AA78" s="102"/>
      <c r="AB78" s="101">
        <v>84</v>
      </c>
      <c r="AC78" s="133" t="s">
        <v>75</v>
      </c>
      <c r="AD78" s="51">
        <f>Total!C78-Auszahlungen!C78-Auszahlungen!L78-Auszahlungen!U78</f>
        <v>0</v>
      </c>
      <c r="AE78" s="116">
        <f>Total!D78-Auszahlungen!D78-Auszahlungen!M78-Auszahlungen!V78</f>
        <v>136300</v>
      </c>
      <c r="AF78" s="116">
        <f>Total!E78-Auszahlungen!E78-Auszahlungen!N78-Auszahlungen!W78</f>
        <v>73600</v>
      </c>
      <c r="AG78" s="51">
        <f>Total!F78-Auszahlungen!F78-Auszahlungen!O78-Auszahlungen!X78</f>
        <v>0</v>
      </c>
      <c r="AH78" s="116">
        <f>Total!G78-Auszahlungen!G78-Auszahlungen!P78-Auszahlungen!Y78</f>
        <v>0</v>
      </c>
      <c r="AI78" s="138">
        <f t="shared" si="11"/>
        <v>209900</v>
      </c>
    </row>
    <row r="79" spans="1:35" x14ac:dyDescent="0.2">
      <c r="A79" s="101">
        <v>85</v>
      </c>
      <c r="B79" s="133" t="s">
        <v>76</v>
      </c>
      <c r="C79" s="189">
        <v>262800</v>
      </c>
      <c r="D79" s="190">
        <v>137900</v>
      </c>
      <c r="E79" s="190">
        <v>130900</v>
      </c>
      <c r="F79" s="189">
        <v>0</v>
      </c>
      <c r="G79" s="190">
        <v>0</v>
      </c>
      <c r="H79" s="138">
        <f t="shared" si="8"/>
        <v>531600</v>
      </c>
      <c r="I79" s="102"/>
      <c r="J79" s="101">
        <v>85</v>
      </c>
      <c r="K79" s="133" t="s">
        <v>76</v>
      </c>
      <c r="L79" s="189">
        <v>262800</v>
      </c>
      <c r="M79" s="190">
        <v>137900</v>
      </c>
      <c r="N79" s="190">
        <v>130900</v>
      </c>
      <c r="O79" s="189">
        <v>0</v>
      </c>
      <c r="P79" s="190">
        <v>0</v>
      </c>
      <c r="Q79" s="138">
        <f t="shared" si="9"/>
        <v>531600</v>
      </c>
      <c r="R79" s="102"/>
      <c r="S79" s="101">
        <v>85</v>
      </c>
      <c r="T79" s="133" t="s">
        <v>76</v>
      </c>
      <c r="U79" s="189">
        <v>262800</v>
      </c>
      <c r="V79" s="190">
        <v>137900</v>
      </c>
      <c r="W79" s="190">
        <v>130900</v>
      </c>
      <c r="X79" s="189">
        <v>0</v>
      </c>
      <c r="Y79" s="190">
        <v>0</v>
      </c>
      <c r="Z79" s="138">
        <f t="shared" si="10"/>
        <v>531600</v>
      </c>
      <c r="AA79" s="102"/>
      <c r="AB79" s="101">
        <v>85</v>
      </c>
      <c r="AC79" s="133" t="s">
        <v>76</v>
      </c>
      <c r="AD79" s="51">
        <f>Total!C79-Auszahlungen!C79-Auszahlungen!L79-Auszahlungen!U79</f>
        <v>262600</v>
      </c>
      <c r="AE79" s="116">
        <f>Total!D79-Auszahlungen!D79-Auszahlungen!M79-Auszahlungen!V79</f>
        <v>137700</v>
      </c>
      <c r="AF79" s="116">
        <f>Total!E79-Auszahlungen!E79-Auszahlungen!N79-Auszahlungen!W79</f>
        <v>132100</v>
      </c>
      <c r="AG79" s="51">
        <f>Total!F79-Auszahlungen!F79-Auszahlungen!O79-Auszahlungen!X79</f>
        <v>0</v>
      </c>
      <c r="AH79" s="116">
        <f>Total!G79-Auszahlungen!G79-Auszahlungen!P79-Auszahlungen!Y79</f>
        <v>0</v>
      </c>
      <c r="AI79" s="138">
        <f t="shared" si="11"/>
        <v>532400</v>
      </c>
    </row>
    <row r="80" spans="1:35" x14ac:dyDescent="0.2">
      <c r="A80" s="101">
        <v>86</v>
      </c>
      <c r="B80" s="133" t="s">
        <v>77</v>
      </c>
      <c r="C80" s="189">
        <v>331000</v>
      </c>
      <c r="D80" s="190">
        <v>149500</v>
      </c>
      <c r="E80" s="190">
        <v>286700</v>
      </c>
      <c r="F80" s="189">
        <v>0</v>
      </c>
      <c r="G80" s="190">
        <v>0</v>
      </c>
      <c r="H80" s="138">
        <f t="shared" si="8"/>
        <v>767200</v>
      </c>
      <c r="I80" s="102"/>
      <c r="J80" s="101">
        <v>86</v>
      </c>
      <c r="K80" s="133" t="s">
        <v>77</v>
      </c>
      <c r="L80" s="189">
        <v>331000</v>
      </c>
      <c r="M80" s="190">
        <v>149500</v>
      </c>
      <c r="N80" s="190">
        <v>286700</v>
      </c>
      <c r="O80" s="189">
        <v>0</v>
      </c>
      <c r="P80" s="190">
        <v>0</v>
      </c>
      <c r="Q80" s="138">
        <f t="shared" si="9"/>
        <v>767200</v>
      </c>
      <c r="R80" s="102"/>
      <c r="S80" s="101">
        <v>86</v>
      </c>
      <c r="T80" s="133" t="s">
        <v>77</v>
      </c>
      <c r="U80" s="189">
        <v>331000</v>
      </c>
      <c r="V80" s="190">
        <v>149500</v>
      </c>
      <c r="W80" s="190">
        <v>286700</v>
      </c>
      <c r="X80" s="189">
        <v>0</v>
      </c>
      <c r="Y80" s="190">
        <v>0</v>
      </c>
      <c r="Z80" s="138">
        <f t="shared" si="10"/>
        <v>767200</v>
      </c>
      <c r="AA80" s="102"/>
      <c r="AB80" s="101">
        <v>86</v>
      </c>
      <c r="AC80" s="133" t="s">
        <v>77</v>
      </c>
      <c r="AD80" s="51">
        <f>Total!C80-Auszahlungen!C80-Auszahlungen!L80-Auszahlungen!U80</f>
        <v>330800</v>
      </c>
      <c r="AE80" s="116">
        <f>Total!D80-Auszahlungen!D80-Auszahlungen!M80-Auszahlungen!V80</f>
        <v>149300</v>
      </c>
      <c r="AF80" s="116">
        <f>Total!E80-Auszahlungen!E80-Auszahlungen!N80-Auszahlungen!W80</f>
        <v>288900</v>
      </c>
      <c r="AG80" s="51">
        <f>Total!F80-Auszahlungen!F80-Auszahlungen!O80-Auszahlungen!X80</f>
        <v>0</v>
      </c>
      <c r="AH80" s="116">
        <f>Total!G80-Auszahlungen!G80-Auszahlungen!P80-Auszahlungen!Y80</f>
        <v>0</v>
      </c>
      <c r="AI80" s="138">
        <f t="shared" si="11"/>
        <v>769000</v>
      </c>
    </row>
    <row r="81" spans="1:35" x14ac:dyDescent="0.2">
      <c r="A81" s="101">
        <v>87</v>
      </c>
      <c r="B81" s="133" t="s">
        <v>78</v>
      </c>
      <c r="C81" s="189">
        <v>113900</v>
      </c>
      <c r="D81" s="190">
        <v>0</v>
      </c>
      <c r="E81" s="190">
        <v>0</v>
      </c>
      <c r="F81" s="189">
        <v>0</v>
      </c>
      <c r="G81" s="190">
        <v>0</v>
      </c>
      <c r="H81" s="138">
        <f t="shared" si="8"/>
        <v>113900</v>
      </c>
      <c r="I81" s="102"/>
      <c r="J81" s="101">
        <v>87</v>
      </c>
      <c r="K81" s="133" t="s">
        <v>78</v>
      </c>
      <c r="L81" s="189">
        <v>113900</v>
      </c>
      <c r="M81" s="190">
        <v>0</v>
      </c>
      <c r="N81" s="190">
        <v>0</v>
      </c>
      <c r="O81" s="189">
        <v>0</v>
      </c>
      <c r="P81" s="190">
        <v>0</v>
      </c>
      <c r="Q81" s="138">
        <f t="shared" si="9"/>
        <v>113900</v>
      </c>
      <c r="R81" s="102"/>
      <c r="S81" s="101">
        <v>87</v>
      </c>
      <c r="T81" s="133" t="s">
        <v>78</v>
      </c>
      <c r="U81" s="189">
        <v>113900</v>
      </c>
      <c r="V81" s="190">
        <v>0</v>
      </c>
      <c r="W81" s="190">
        <v>0</v>
      </c>
      <c r="X81" s="189">
        <v>0</v>
      </c>
      <c r="Y81" s="190">
        <v>0</v>
      </c>
      <c r="Z81" s="138">
        <f t="shared" si="10"/>
        <v>113900</v>
      </c>
      <c r="AA81" s="102"/>
      <c r="AB81" s="101">
        <v>87</v>
      </c>
      <c r="AC81" s="133" t="s">
        <v>78</v>
      </c>
      <c r="AD81" s="51">
        <f>Total!C81-Auszahlungen!C81-Auszahlungen!L81-Auszahlungen!U81</f>
        <v>113800</v>
      </c>
      <c r="AE81" s="116">
        <f>Total!D81-Auszahlungen!D81-Auszahlungen!M81-Auszahlungen!V81</f>
        <v>0</v>
      </c>
      <c r="AF81" s="116">
        <f>Total!E81-Auszahlungen!E81-Auszahlungen!N81-Auszahlungen!W81</f>
        <v>0</v>
      </c>
      <c r="AG81" s="51">
        <f>Total!F81-Auszahlungen!F81-Auszahlungen!O81-Auszahlungen!X81</f>
        <v>0</v>
      </c>
      <c r="AH81" s="116">
        <f>Total!G81-Auszahlungen!G81-Auszahlungen!P81-Auszahlungen!Y81</f>
        <v>0</v>
      </c>
      <c r="AI81" s="138">
        <f t="shared" si="11"/>
        <v>113800</v>
      </c>
    </row>
    <row r="82" spans="1:35" x14ac:dyDescent="0.2">
      <c r="A82" s="101">
        <v>88</v>
      </c>
      <c r="B82" s="133" t="s">
        <v>79</v>
      </c>
      <c r="C82" s="189">
        <v>0</v>
      </c>
      <c r="D82" s="190">
        <v>35600</v>
      </c>
      <c r="E82" s="190">
        <v>241200</v>
      </c>
      <c r="F82" s="189">
        <v>0</v>
      </c>
      <c r="G82" s="190">
        <v>0</v>
      </c>
      <c r="H82" s="138">
        <f t="shared" si="8"/>
        <v>276800</v>
      </c>
      <c r="I82" s="102"/>
      <c r="J82" s="101">
        <v>88</v>
      </c>
      <c r="K82" s="133" t="s">
        <v>79</v>
      </c>
      <c r="L82" s="189">
        <v>0</v>
      </c>
      <c r="M82" s="190">
        <v>35600</v>
      </c>
      <c r="N82" s="190">
        <v>241200</v>
      </c>
      <c r="O82" s="189">
        <v>0</v>
      </c>
      <c r="P82" s="190">
        <v>0</v>
      </c>
      <c r="Q82" s="138">
        <f t="shared" si="9"/>
        <v>276800</v>
      </c>
      <c r="R82" s="102"/>
      <c r="S82" s="101">
        <v>88</v>
      </c>
      <c r="T82" s="133" t="s">
        <v>79</v>
      </c>
      <c r="U82" s="189">
        <v>0</v>
      </c>
      <c r="V82" s="190">
        <v>35600</v>
      </c>
      <c r="W82" s="190">
        <v>241200</v>
      </c>
      <c r="X82" s="189">
        <v>0</v>
      </c>
      <c r="Y82" s="190">
        <v>0</v>
      </c>
      <c r="Z82" s="138">
        <f t="shared" si="10"/>
        <v>276800</v>
      </c>
      <c r="AA82" s="102"/>
      <c r="AB82" s="101">
        <v>88</v>
      </c>
      <c r="AC82" s="133" t="s">
        <v>79</v>
      </c>
      <c r="AD82" s="51">
        <f>Total!C82-Auszahlungen!C82-Auszahlungen!L82-Auszahlungen!U82</f>
        <v>0</v>
      </c>
      <c r="AE82" s="116">
        <f>Total!D82-Auszahlungen!D82-Auszahlungen!M82-Auszahlungen!V82</f>
        <v>35400</v>
      </c>
      <c r="AF82" s="116">
        <f>Total!E82-Auszahlungen!E82-Auszahlungen!N82-Auszahlungen!W82</f>
        <v>243300</v>
      </c>
      <c r="AG82" s="51">
        <f>Total!F82-Auszahlungen!F82-Auszahlungen!O82-Auszahlungen!X82</f>
        <v>0</v>
      </c>
      <c r="AH82" s="116">
        <f>Total!G82-Auszahlungen!G82-Auszahlungen!P82-Auszahlungen!Y82</f>
        <v>0</v>
      </c>
      <c r="AI82" s="138">
        <f t="shared" si="11"/>
        <v>278700</v>
      </c>
    </row>
    <row r="83" spans="1:35" x14ac:dyDescent="0.2">
      <c r="A83" s="101">
        <v>89</v>
      </c>
      <c r="B83" s="133" t="s">
        <v>80</v>
      </c>
      <c r="C83" s="189">
        <v>387700</v>
      </c>
      <c r="D83" s="190">
        <v>461000</v>
      </c>
      <c r="E83" s="190">
        <v>396100</v>
      </c>
      <c r="F83" s="189">
        <v>0</v>
      </c>
      <c r="G83" s="190">
        <v>0</v>
      </c>
      <c r="H83" s="138">
        <f t="shared" si="8"/>
        <v>1244800</v>
      </c>
      <c r="I83" s="102"/>
      <c r="J83" s="101">
        <v>89</v>
      </c>
      <c r="K83" s="133" t="s">
        <v>80</v>
      </c>
      <c r="L83" s="189">
        <v>387700</v>
      </c>
      <c r="M83" s="190">
        <v>461000</v>
      </c>
      <c r="N83" s="190">
        <v>396100</v>
      </c>
      <c r="O83" s="189">
        <v>0</v>
      </c>
      <c r="P83" s="190">
        <v>0</v>
      </c>
      <c r="Q83" s="138">
        <f t="shared" si="9"/>
        <v>1244800</v>
      </c>
      <c r="R83" s="102"/>
      <c r="S83" s="101">
        <v>89</v>
      </c>
      <c r="T83" s="133" t="s">
        <v>80</v>
      </c>
      <c r="U83" s="189">
        <v>387700</v>
      </c>
      <c r="V83" s="190">
        <v>461000</v>
      </c>
      <c r="W83" s="190">
        <v>396100</v>
      </c>
      <c r="X83" s="189">
        <v>0</v>
      </c>
      <c r="Y83" s="190">
        <v>0</v>
      </c>
      <c r="Z83" s="138">
        <f t="shared" si="10"/>
        <v>1244800</v>
      </c>
      <c r="AA83" s="102"/>
      <c r="AB83" s="101">
        <v>89</v>
      </c>
      <c r="AC83" s="133" t="s">
        <v>80</v>
      </c>
      <c r="AD83" s="51">
        <f>Total!C83-Auszahlungen!C83-Auszahlungen!L83-Auszahlungen!U83</f>
        <v>387800</v>
      </c>
      <c r="AE83" s="116">
        <f>Total!D83-Auszahlungen!D83-Auszahlungen!M83-Auszahlungen!V83</f>
        <v>461100</v>
      </c>
      <c r="AF83" s="116">
        <f>Total!E83-Auszahlungen!E83-Auszahlungen!N83-Auszahlungen!W83</f>
        <v>399200</v>
      </c>
      <c r="AG83" s="51">
        <f>Total!F83-Auszahlungen!F83-Auszahlungen!O83-Auszahlungen!X83</f>
        <v>0</v>
      </c>
      <c r="AH83" s="116">
        <f>Total!G83-Auszahlungen!G83-Auszahlungen!P83-Auszahlungen!Y83</f>
        <v>0</v>
      </c>
      <c r="AI83" s="138">
        <f t="shared" si="11"/>
        <v>1248100</v>
      </c>
    </row>
    <row r="84" spans="1:35" x14ac:dyDescent="0.2">
      <c r="A84" s="101">
        <v>90</v>
      </c>
      <c r="B84" s="133" t="s">
        <v>81</v>
      </c>
      <c r="C84" s="189">
        <v>0</v>
      </c>
      <c r="D84" s="190">
        <v>0</v>
      </c>
      <c r="E84" s="190">
        <v>22200</v>
      </c>
      <c r="F84" s="189">
        <v>0</v>
      </c>
      <c r="G84" s="190">
        <v>0</v>
      </c>
      <c r="H84" s="138">
        <f t="shared" si="8"/>
        <v>22200</v>
      </c>
      <c r="I84" s="102"/>
      <c r="J84" s="107">
        <v>90</v>
      </c>
      <c r="K84" s="134" t="s">
        <v>81</v>
      </c>
      <c r="L84" s="191">
        <v>0</v>
      </c>
      <c r="M84" s="192">
        <v>0</v>
      </c>
      <c r="N84" s="192">
        <v>22200</v>
      </c>
      <c r="O84" s="191">
        <v>0</v>
      </c>
      <c r="P84" s="192">
        <v>0</v>
      </c>
      <c r="Q84" s="139">
        <f t="shared" si="9"/>
        <v>22200</v>
      </c>
      <c r="R84" s="102"/>
      <c r="S84" s="107">
        <v>90</v>
      </c>
      <c r="T84" s="134" t="s">
        <v>81</v>
      </c>
      <c r="U84" s="191">
        <v>0</v>
      </c>
      <c r="V84" s="192">
        <v>0</v>
      </c>
      <c r="W84" s="192">
        <v>22200</v>
      </c>
      <c r="X84" s="191">
        <v>0</v>
      </c>
      <c r="Y84" s="192">
        <v>0</v>
      </c>
      <c r="Z84" s="139">
        <f t="shared" si="10"/>
        <v>22200</v>
      </c>
      <c r="AA84" s="102"/>
      <c r="AB84" s="107">
        <v>90</v>
      </c>
      <c r="AC84" s="134" t="s">
        <v>81</v>
      </c>
      <c r="AD84" s="108">
        <f>Total!C84-Auszahlungen!C84-Auszahlungen!L84-Auszahlungen!U84</f>
        <v>0</v>
      </c>
      <c r="AE84" s="117">
        <f>Total!D84-Auszahlungen!D84-Auszahlungen!M84-Auszahlungen!V84</f>
        <v>0</v>
      </c>
      <c r="AF84" s="117">
        <f>Total!E84-Auszahlungen!E84-Auszahlungen!N84-Auszahlungen!W84</f>
        <v>22400</v>
      </c>
      <c r="AG84" s="108">
        <f>Total!F84-Auszahlungen!F84-Auszahlungen!O84-Auszahlungen!X84</f>
        <v>0</v>
      </c>
      <c r="AH84" s="117">
        <f>Total!G84-Auszahlungen!G84-Auszahlungen!P84-Auszahlungen!Y84</f>
        <v>0</v>
      </c>
      <c r="AI84" s="139">
        <f t="shared" si="11"/>
        <v>22400</v>
      </c>
    </row>
    <row r="85" spans="1:35" x14ac:dyDescent="0.2">
      <c r="A85" s="121"/>
      <c r="B85" s="126" t="s">
        <v>82</v>
      </c>
      <c r="C85" s="122">
        <f>SUM(C8:C84)</f>
        <v>30580300</v>
      </c>
      <c r="D85" s="128">
        <f t="shared" ref="D85:H85" si="12">SUM(D8:D84)</f>
        <v>9579900</v>
      </c>
      <c r="E85" s="128">
        <f>SUM(E8:E84)</f>
        <v>7930900</v>
      </c>
      <c r="F85" s="122">
        <f t="shared" si="12"/>
        <v>6428300</v>
      </c>
      <c r="G85" s="128">
        <f t="shared" si="12"/>
        <v>4043300</v>
      </c>
      <c r="H85" s="128">
        <f t="shared" si="12"/>
        <v>58562700</v>
      </c>
      <c r="I85" s="102"/>
      <c r="J85" s="121"/>
      <c r="K85" s="126" t="s">
        <v>82</v>
      </c>
      <c r="L85" s="122">
        <f>SUM(L8:L84)</f>
        <v>30580300</v>
      </c>
      <c r="M85" s="128">
        <f t="shared" ref="M85:Q85" si="13">SUM(M8:M84)</f>
        <v>9579900</v>
      </c>
      <c r="N85" s="128">
        <f>SUM(N8:N84)</f>
        <v>7930900</v>
      </c>
      <c r="O85" s="122">
        <f t="shared" si="13"/>
        <v>6428300</v>
      </c>
      <c r="P85" s="128">
        <f t="shared" si="13"/>
        <v>4043300</v>
      </c>
      <c r="Q85" s="128">
        <f t="shared" si="13"/>
        <v>58562700</v>
      </c>
      <c r="R85" s="102"/>
      <c r="S85" s="121"/>
      <c r="T85" s="126" t="s">
        <v>82</v>
      </c>
      <c r="U85" s="122">
        <f>SUM(U8:U84)</f>
        <v>30580300</v>
      </c>
      <c r="V85" s="128">
        <f t="shared" ref="V85:Z85" si="14">SUM(V8:V84)</f>
        <v>9579900</v>
      </c>
      <c r="W85" s="128">
        <f>SUM(W8:W84)</f>
        <v>7930900</v>
      </c>
      <c r="X85" s="122">
        <f t="shared" si="14"/>
        <v>6428300</v>
      </c>
      <c r="Y85" s="128">
        <f t="shared" si="14"/>
        <v>4043300</v>
      </c>
      <c r="Z85" s="128">
        <f t="shared" si="14"/>
        <v>58562700</v>
      </c>
      <c r="AA85" s="102"/>
      <c r="AB85" s="121"/>
      <c r="AC85" s="126" t="s">
        <v>82</v>
      </c>
      <c r="AD85" s="122">
        <f>SUM(AD8:AD84)</f>
        <v>30576400</v>
      </c>
      <c r="AE85" s="128">
        <f t="shared" ref="AE85:AI85" si="15">SUM(AE8:AE84)</f>
        <v>9576700</v>
      </c>
      <c r="AF85" s="128">
        <f>SUM(AF8:AF84)</f>
        <v>7993000</v>
      </c>
      <c r="AG85" s="122">
        <f t="shared" si="15"/>
        <v>6452000</v>
      </c>
      <c r="AH85" s="128">
        <f t="shared" si="15"/>
        <v>4043200</v>
      </c>
      <c r="AI85" s="128">
        <f t="shared" si="15"/>
        <v>58641300</v>
      </c>
    </row>
    <row r="86" spans="1:35" ht="30" customHeight="1" x14ac:dyDescent="0.2">
      <c r="A86" s="124"/>
      <c r="B86" s="142" t="s">
        <v>252</v>
      </c>
      <c r="C86" s="141" t="s">
        <v>274</v>
      </c>
      <c r="D86" s="140" t="s">
        <v>275</v>
      </c>
      <c r="E86" s="141" t="s">
        <v>276</v>
      </c>
      <c r="F86" s="161" t="s">
        <v>277</v>
      </c>
      <c r="G86" s="140" t="s">
        <v>278</v>
      </c>
      <c r="H86" s="127"/>
      <c r="I86" s="102"/>
      <c r="J86" s="124"/>
      <c r="K86" s="142" t="s">
        <v>252</v>
      </c>
      <c r="L86" s="141" t="s">
        <v>274</v>
      </c>
      <c r="M86" s="140" t="s">
        <v>275</v>
      </c>
      <c r="N86" s="141" t="s">
        <v>276</v>
      </c>
      <c r="O86" s="161" t="s">
        <v>277</v>
      </c>
      <c r="P86" s="140" t="s">
        <v>278</v>
      </c>
      <c r="Q86" s="127"/>
      <c r="R86" s="102"/>
      <c r="S86" s="124"/>
      <c r="T86" s="142" t="s">
        <v>252</v>
      </c>
      <c r="U86" s="141" t="s">
        <v>274</v>
      </c>
      <c r="V86" s="140" t="s">
        <v>275</v>
      </c>
      <c r="W86" s="141" t="s">
        <v>276</v>
      </c>
      <c r="X86" s="161" t="s">
        <v>277</v>
      </c>
      <c r="Y86" s="140" t="s">
        <v>278</v>
      </c>
      <c r="Z86" s="127"/>
      <c r="AA86" s="102"/>
      <c r="AB86" s="124"/>
      <c r="AC86" s="142" t="s">
        <v>252</v>
      </c>
      <c r="AD86" s="141" t="s">
        <v>274</v>
      </c>
      <c r="AE86" s="140" t="s">
        <v>275</v>
      </c>
      <c r="AF86" s="141" t="s">
        <v>276</v>
      </c>
      <c r="AG86" s="161" t="s">
        <v>277</v>
      </c>
      <c r="AH86" s="140" t="s">
        <v>278</v>
      </c>
      <c r="AI86" s="127"/>
    </row>
    <row r="89" spans="1:35" x14ac:dyDescent="0.2">
      <c r="AE89" s="50"/>
    </row>
  </sheetData>
  <pageMargins left="0.51181102362204722" right="0.51181102362204722" top="0.39370078740157483" bottom="0.39370078740157483" header="0.31496062992125984" footer="0.31496062992125984"/>
  <pageSetup paperSize="9" scale="68" orientation="portrait" r:id="rId1"/>
  <headerFooter>
    <oddFooter>&amp;R&amp;D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87"/>
  <sheetViews>
    <sheetView topLeftCell="I76" zoomScale="130" zoomScaleNormal="130" workbookViewId="0"/>
  </sheetViews>
  <sheetFormatPr baseColWidth="10" defaultRowHeight="12.75" x14ac:dyDescent="0.2"/>
  <cols>
    <col min="1" max="1" width="4" customWidth="1"/>
    <col min="2" max="2" width="20.5703125" bestFit="1" customWidth="1"/>
    <col min="5" max="5" width="19.42578125" customWidth="1"/>
    <col min="8" max="8" width="4.28515625" customWidth="1"/>
    <col min="9" max="9" width="4" customWidth="1"/>
    <col min="10" max="10" width="20.5703125" bestFit="1" customWidth="1"/>
    <col min="13" max="13" width="19.42578125" customWidth="1"/>
    <col min="16" max="16" width="4.28515625" customWidth="1"/>
    <col min="17" max="17" width="4" customWidth="1"/>
    <col min="18" max="18" width="20.5703125" bestFit="1" customWidth="1"/>
    <col min="21" max="21" width="19.42578125" customWidth="1"/>
    <col min="24" max="24" width="4.28515625" customWidth="1"/>
    <col min="25" max="25" width="4" customWidth="1"/>
    <col min="26" max="26" width="20.5703125" bestFit="1" customWidth="1"/>
    <col min="29" max="29" width="19.42578125" customWidth="1"/>
  </cols>
  <sheetData>
    <row r="1" spans="1:29" x14ac:dyDescent="0.2">
      <c r="A1" s="83" t="s">
        <v>217</v>
      </c>
      <c r="H1" s="130"/>
      <c r="I1" s="83" t="s">
        <v>217</v>
      </c>
      <c r="P1" s="130"/>
      <c r="Q1" s="83" t="s">
        <v>217</v>
      </c>
      <c r="X1" s="130"/>
      <c r="Y1" s="83" t="s">
        <v>217</v>
      </c>
    </row>
    <row r="2" spans="1:29" x14ac:dyDescent="0.2">
      <c r="A2" t="s">
        <v>218</v>
      </c>
      <c r="H2" s="130"/>
      <c r="I2" t="s">
        <v>218</v>
      </c>
      <c r="P2" s="130"/>
      <c r="Q2" t="s">
        <v>218</v>
      </c>
      <c r="X2" s="130"/>
      <c r="Y2" t="s">
        <v>218</v>
      </c>
    </row>
    <row r="3" spans="1:29" x14ac:dyDescent="0.2">
      <c r="H3" s="130"/>
      <c r="P3" s="130"/>
      <c r="X3" s="130"/>
    </row>
    <row r="4" spans="1:29" x14ac:dyDescent="0.2">
      <c r="H4" s="130"/>
      <c r="P4" s="130"/>
      <c r="X4" s="130"/>
    </row>
    <row r="5" spans="1:29" ht="26.25" x14ac:dyDescent="0.2">
      <c r="A5" s="129" t="s">
        <v>250</v>
      </c>
      <c r="B5" s="3"/>
      <c r="C5" s="3"/>
      <c r="D5" s="3"/>
      <c r="E5" s="3"/>
      <c r="H5" s="130"/>
      <c r="I5" s="129" t="s">
        <v>250</v>
      </c>
      <c r="J5" s="3"/>
      <c r="K5" s="3"/>
      <c r="L5" s="3"/>
      <c r="M5" s="3"/>
      <c r="P5" s="130"/>
      <c r="Q5" s="129" t="s">
        <v>250</v>
      </c>
      <c r="R5" s="3"/>
      <c r="S5" s="3"/>
      <c r="T5" s="3"/>
      <c r="U5" s="3"/>
      <c r="X5" s="130"/>
      <c r="Y5" s="129" t="s">
        <v>250</v>
      </c>
      <c r="Z5" s="3"/>
      <c r="AA5" s="3"/>
      <c r="AB5" s="3"/>
      <c r="AC5" s="3"/>
    </row>
    <row r="6" spans="1:29" ht="18" x14ac:dyDescent="0.25">
      <c r="A6" s="106" t="s">
        <v>249</v>
      </c>
      <c r="B6" s="3"/>
      <c r="C6" s="3"/>
      <c r="D6" s="3"/>
      <c r="E6" s="3"/>
      <c r="H6" s="130"/>
      <c r="I6" s="106" t="s">
        <v>253</v>
      </c>
      <c r="J6" s="3"/>
      <c r="K6" s="3"/>
      <c r="L6" s="3"/>
      <c r="M6" s="3"/>
      <c r="P6" s="130"/>
      <c r="Q6" s="106" t="s">
        <v>255</v>
      </c>
      <c r="R6" s="3"/>
      <c r="S6" s="3"/>
      <c r="T6" s="3"/>
      <c r="U6" s="3"/>
      <c r="X6" s="130"/>
      <c r="Y6" s="106" t="s">
        <v>256</v>
      </c>
      <c r="Z6" s="3"/>
      <c r="AA6" s="3"/>
      <c r="AB6" s="3"/>
      <c r="AC6" s="3"/>
    </row>
    <row r="7" spans="1:29" x14ac:dyDescent="0.2">
      <c r="A7" s="3"/>
      <c r="B7" s="3"/>
      <c r="C7" s="5"/>
      <c r="D7" s="5"/>
      <c r="E7" s="5"/>
      <c r="H7" s="130"/>
      <c r="I7" s="3"/>
      <c r="J7" s="3"/>
      <c r="K7" s="5"/>
      <c r="L7" s="5"/>
      <c r="M7" s="5"/>
      <c r="P7" s="130"/>
      <c r="Q7" s="3"/>
      <c r="R7" s="3"/>
      <c r="S7" s="5"/>
      <c r="T7" s="5"/>
      <c r="U7" s="5"/>
      <c r="X7" s="130"/>
      <c r="Y7" s="3"/>
      <c r="Z7" s="3"/>
      <c r="AA7" s="5"/>
      <c r="AB7" s="5"/>
      <c r="AC7" s="5"/>
    </row>
    <row r="8" spans="1:29" ht="25.5" customHeight="1" x14ac:dyDescent="0.2">
      <c r="A8" s="119" t="s">
        <v>234</v>
      </c>
      <c r="B8" s="112" t="s">
        <v>235</v>
      </c>
      <c r="C8" s="114" t="s">
        <v>241</v>
      </c>
      <c r="D8" s="113" t="s">
        <v>242</v>
      </c>
      <c r="E8" s="114" t="s">
        <v>251</v>
      </c>
      <c r="H8" s="130"/>
      <c r="I8" s="119" t="s">
        <v>234</v>
      </c>
      <c r="J8" s="112" t="s">
        <v>235</v>
      </c>
      <c r="K8" s="114" t="s">
        <v>241</v>
      </c>
      <c r="L8" s="113" t="s">
        <v>242</v>
      </c>
      <c r="M8" s="114" t="s">
        <v>254</v>
      </c>
      <c r="P8" s="130"/>
      <c r="Q8" s="119" t="s">
        <v>234</v>
      </c>
      <c r="R8" s="112" t="s">
        <v>235</v>
      </c>
      <c r="S8" s="114" t="s">
        <v>241</v>
      </c>
      <c r="T8" s="113" t="s">
        <v>242</v>
      </c>
      <c r="U8" s="114" t="s">
        <v>258</v>
      </c>
      <c r="X8" s="130"/>
      <c r="Y8" s="119" t="s">
        <v>234</v>
      </c>
      <c r="Z8" s="112" t="s">
        <v>235</v>
      </c>
      <c r="AA8" s="114" t="s">
        <v>241</v>
      </c>
      <c r="AB8" s="113" t="s">
        <v>242</v>
      </c>
      <c r="AC8" s="114" t="s">
        <v>257</v>
      </c>
    </row>
    <row r="9" spans="1:29" x14ac:dyDescent="0.2">
      <c r="A9" s="120">
        <v>1</v>
      </c>
      <c r="B9" s="33" t="s">
        <v>5</v>
      </c>
      <c r="C9" s="116">
        <f>IF(E9=0,"",A9)</f>
        <v>1</v>
      </c>
      <c r="D9" s="162" t="s">
        <v>245</v>
      </c>
      <c r="E9" s="115">
        <f>Auszahlungen!H8</f>
        <v>8505900</v>
      </c>
      <c r="G9" s="154"/>
      <c r="H9" s="130"/>
      <c r="I9" s="120">
        <v>1</v>
      </c>
      <c r="J9" s="33" t="s">
        <v>5</v>
      </c>
      <c r="K9" s="116">
        <f>IF(M9=0,"",I9)</f>
        <v>1</v>
      </c>
      <c r="L9" s="162" t="s">
        <v>245</v>
      </c>
      <c r="M9" s="115">
        <f>Auszahlungen!Q8</f>
        <v>8505900</v>
      </c>
      <c r="P9" s="130"/>
      <c r="Q9" s="120">
        <v>1</v>
      </c>
      <c r="R9" s="33" t="s">
        <v>5</v>
      </c>
      <c r="S9" s="116">
        <f>IF(U9=0,"",Q9)</f>
        <v>1</v>
      </c>
      <c r="T9" s="162" t="s">
        <v>245</v>
      </c>
      <c r="U9" s="115">
        <f>Auszahlungen!Z8</f>
        <v>8505900</v>
      </c>
      <c r="X9" s="130"/>
      <c r="Y9" s="120">
        <v>1</v>
      </c>
      <c r="Z9" s="33" t="s">
        <v>5</v>
      </c>
      <c r="AA9" s="116">
        <f>IF(AC9=0,"",Y9)</f>
        <v>1</v>
      </c>
      <c r="AB9" s="162" t="s">
        <v>245</v>
      </c>
      <c r="AC9" s="115">
        <f>Auszahlungen!AI8</f>
        <v>8514800</v>
      </c>
    </row>
    <row r="10" spans="1:29" x14ac:dyDescent="0.2">
      <c r="A10" s="120">
        <v>2</v>
      </c>
      <c r="B10" s="33" t="s">
        <v>6</v>
      </c>
      <c r="C10" s="116">
        <f t="shared" ref="C10:C73" si="0">IF(E10=0,"",A10)</f>
        <v>2</v>
      </c>
      <c r="D10" s="162" t="s">
        <v>245</v>
      </c>
      <c r="E10" s="115">
        <f>Auszahlungen!H9</f>
        <v>1436900</v>
      </c>
      <c r="G10" s="154"/>
      <c r="H10" s="130"/>
      <c r="I10" s="120">
        <v>2</v>
      </c>
      <c r="J10" s="33" t="s">
        <v>6</v>
      </c>
      <c r="K10" s="116">
        <f t="shared" ref="K10:K73" si="1">IF(M10=0,"",I10)</f>
        <v>2</v>
      </c>
      <c r="L10" s="162" t="s">
        <v>245</v>
      </c>
      <c r="M10" s="115">
        <f>Auszahlungen!Q9</f>
        <v>1436900</v>
      </c>
      <c r="P10" s="130"/>
      <c r="Q10" s="120">
        <v>2</v>
      </c>
      <c r="R10" s="33" t="s">
        <v>6</v>
      </c>
      <c r="S10" s="116">
        <f t="shared" ref="S10:S73" si="2">IF(U10=0,"",Q10)</f>
        <v>2</v>
      </c>
      <c r="T10" s="162" t="s">
        <v>245</v>
      </c>
      <c r="U10" s="115">
        <f>Auszahlungen!Z9</f>
        <v>1436900</v>
      </c>
      <c r="X10" s="130"/>
      <c r="Y10" s="120">
        <v>2</v>
      </c>
      <c r="Z10" s="33" t="s">
        <v>6</v>
      </c>
      <c r="AA10" s="116">
        <f t="shared" ref="AA10:AA73" si="3">IF(AC10=0,"",Y10)</f>
        <v>2</v>
      </c>
      <c r="AB10" s="162" t="s">
        <v>245</v>
      </c>
      <c r="AC10" s="115">
        <f>Auszahlungen!AI9</f>
        <v>1438700</v>
      </c>
    </row>
    <row r="11" spans="1:29" x14ac:dyDescent="0.2">
      <c r="A11" s="120">
        <v>3</v>
      </c>
      <c r="B11" s="33" t="s">
        <v>7</v>
      </c>
      <c r="C11" s="116">
        <f t="shared" si="0"/>
        <v>3</v>
      </c>
      <c r="D11" s="105" t="s">
        <v>245</v>
      </c>
      <c r="E11" s="115">
        <f>Auszahlungen!H10</f>
        <v>403300</v>
      </c>
      <c r="G11" s="154"/>
      <c r="H11" s="130"/>
      <c r="I11" s="120">
        <v>3</v>
      </c>
      <c r="J11" s="33" t="s">
        <v>7</v>
      </c>
      <c r="K11" s="116">
        <f t="shared" si="1"/>
        <v>3</v>
      </c>
      <c r="L11" s="105" t="s">
        <v>245</v>
      </c>
      <c r="M11" s="115">
        <f>Auszahlungen!Q10</f>
        <v>403300</v>
      </c>
      <c r="P11" s="130"/>
      <c r="Q11" s="120">
        <v>3</v>
      </c>
      <c r="R11" s="33" t="s">
        <v>7</v>
      </c>
      <c r="S11" s="116">
        <f t="shared" si="2"/>
        <v>3</v>
      </c>
      <c r="T11" s="105" t="s">
        <v>245</v>
      </c>
      <c r="U11" s="115">
        <f>Auszahlungen!Z10</f>
        <v>403300</v>
      </c>
      <c r="X11" s="130"/>
      <c r="Y11" s="120">
        <v>3</v>
      </c>
      <c r="Z11" s="33" t="s">
        <v>7</v>
      </c>
      <c r="AA11" s="116">
        <f t="shared" si="3"/>
        <v>3</v>
      </c>
      <c r="AB11" s="105" t="s">
        <v>245</v>
      </c>
      <c r="AC11" s="115">
        <f>Auszahlungen!AI10</f>
        <v>404100</v>
      </c>
    </row>
    <row r="12" spans="1:29" x14ac:dyDescent="0.2">
      <c r="A12" s="120">
        <v>4</v>
      </c>
      <c r="B12" s="33" t="s">
        <v>8</v>
      </c>
      <c r="C12" s="116">
        <f t="shared" si="0"/>
        <v>4</v>
      </c>
      <c r="D12" s="163" t="s">
        <v>247</v>
      </c>
      <c r="E12" s="115">
        <f>Auszahlungen!H11</f>
        <v>439900</v>
      </c>
      <c r="G12" s="154"/>
      <c r="H12" s="130"/>
      <c r="I12" s="120">
        <v>4</v>
      </c>
      <c r="J12" s="33" t="s">
        <v>8</v>
      </c>
      <c r="K12" s="116">
        <f t="shared" si="1"/>
        <v>4</v>
      </c>
      <c r="L12" s="163" t="s">
        <v>247</v>
      </c>
      <c r="M12" s="115">
        <f>Auszahlungen!Q11</f>
        <v>439900</v>
      </c>
      <c r="P12" s="130"/>
      <c r="Q12" s="120">
        <v>4</v>
      </c>
      <c r="R12" s="33" t="s">
        <v>8</v>
      </c>
      <c r="S12" s="116">
        <f t="shared" si="2"/>
        <v>4</v>
      </c>
      <c r="T12" s="163" t="s">
        <v>247</v>
      </c>
      <c r="U12" s="115">
        <f>Auszahlungen!Z11</f>
        <v>439900</v>
      </c>
      <c r="X12" s="130"/>
      <c r="Y12" s="120">
        <v>4</v>
      </c>
      <c r="Z12" s="33" t="s">
        <v>8</v>
      </c>
      <c r="AA12" s="116">
        <f t="shared" si="3"/>
        <v>4</v>
      </c>
      <c r="AB12" s="163" t="s">
        <v>247</v>
      </c>
      <c r="AC12" s="115">
        <f>Auszahlungen!AI11</f>
        <v>440100</v>
      </c>
    </row>
    <row r="13" spans="1:29" x14ac:dyDescent="0.2">
      <c r="A13" s="120">
        <v>5</v>
      </c>
      <c r="B13" s="33" t="s">
        <v>9</v>
      </c>
      <c r="C13" s="116" t="str">
        <f t="shared" si="0"/>
        <v/>
      </c>
      <c r="D13" s="105" t="s">
        <v>245</v>
      </c>
      <c r="E13" s="115">
        <f>Auszahlungen!H12</f>
        <v>0</v>
      </c>
      <c r="G13" s="154"/>
      <c r="H13" s="130"/>
      <c r="I13" s="120">
        <v>5</v>
      </c>
      <c r="J13" s="33" t="s">
        <v>9</v>
      </c>
      <c r="K13" s="116" t="str">
        <f t="shared" si="1"/>
        <v/>
      </c>
      <c r="L13" s="105" t="s">
        <v>245</v>
      </c>
      <c r="M13" s="115">
        <f>Auszahlungen!Q12</f>
        <v>0</v>
      </c>
      <c r="P13" s="130"/>
      <c r="Q13" s="120">
        <v>5</v>
      </c>
      <c r="R13" s="33" t="s">
        <v>9</v>
      </c>
      <c r="S13" s="116" t="str">
        <f t="shared" si="2"/>
        <v/>
      </c>
      <c r="T13" s="105" t="s">
        <v>245</v>
      </c>
      <c r="U13" s="115">
        <f>Auszahlungen!Z12</f>
        <v>0</v>
      </c>
      <c r="X13" s="130"/>
      <c r="Y13" s="120">
        <v>5</v>
      </c>
      <c r="Z13" s="33" t="s">
        <v>9</v>
      </c>
      <c r="AA13" s="116" t="str">
        <f t="shared" si="3"/>
        <v/>
      </c>
      <c r="AB13" s="105" t="s">
        <v>245</v>
      </c>
      <c r="AC13" s="115">
        <f>Auszahlungen!AI12</f>
        <v>0</v>
      </c>
    </row>
    <row r="14" spans="1:29" x14ac:dyDescent="0.2">
      <c r="A14" s="120">
        <v>6</v>
      </c>
      <c r="B14" s="33" t="s">
        <v>10</v>
      </c>
      <c r="C14" s="116">
        <f t="shared" si="0"/>
        <v>6</v>
      </c>
      <c r="D14" s="105" t="s">
        <v>246</v>
      </c>
      <c r="E14" s="115">
        <f>Auszahlungen!H13</f>
        <v>79700</v>
      </c>
      <c r="G14" s="154"/>
      <c r="H14" s="130"/>
      <c r="I14" s="120">
        <v>6</v>
      </c>
      <c r="J14" s="33" t="s">
        <v>10</v>
      </c>
      <c r="K14" s="116">
        <f t="shared" si="1"/>
        <v>6</v>
      </c>
      <c r="L14" s="163" t="s">
        <v>248</v>
      </c>
      <c r="M14" s="115">
        <f>Auszahlungen!Q13</f>
        <v>79700</v>
      </c>
      <c r="P14" s="130"/>
      <c r="Q14" s="120">
        <v>6</v>
      </c>
      <c r="R14" s="33" t="s">
        <v>10</v>
      </c>
      <c r="S14" s="116">
        <f t="shared" si="2"/>
        <v>6</v>
      </c>
      <c r="T14" s="163" t="s">
        <v>248</v>
      </c>
      <c r="U14" s="115">
        <f>Auszahlungen!Z13</f>
        <v>79700</v>
      </c>
      <c r="X14" s="130"/>
      <c r="Y14" s="120">
        <v>6</v>
      </c>
      <c r="Z14" s="33" t="s">
        <v>10</v>
      </c>
      <c r="AA14" s="116">
        <f t="shared" si="3"/>
        <v>6</v>
      </c>
      <c r="AB14" s="163" t="s">
        <v>248</v>
      </c>
      <c r="AC14" s="115">
        <f>Auszahlungen!AI13</f>
        <v>80200</v>
      </c>
    </row>
    <row r="15" spans="1:29" x14ac:dyDescent="0.2">
      <c r="A15" s="120">
        <v>7</v>
      </c>
      <c r="B15" s="33" t="s">
        <v>11</v>
      </c>
      <c r="C15" s="116" t="str">
        <f t="shared" si="0"/>
        <v/>
      </c>
      <c r="D15" s="105" t="s">
        <v>245</v>
      </c>
      <c r="E15" s="115">
        <f>Auszahlungen!H14</f>
        <v>0</v>
      </c>
      <c r="G15" s="154"/>
      <c r="H15" s="130"/>
      <c r="I15" s="120">
        <v>7</v>
      </c>
      <c r="J15" s="33" t="s">
        <v>11</v>
      </c>
      <c r="K15" s="116" t="str">
        <f t="shared" si="1"/>
        <v/>
      </c>
      <c r="L15" s="105" t="s">
        <v>245</v>
      </c>
      <c r="M15" s="115">
        <f>Auszahlungen!Q14</f>
        <v>0</v>
      </c>
      <c r="P15" s="130"/>
      <c r="Q15" s="120">
        <v>7</v>
      </c>
      <c r="R15" s="33" t="s">
        <v>11</v>
      </c>
      <c r="S15" s="116" t="str">
        <f t="shared" si="2"/>
        <v/>
      </c>
      <c r="T15" s="105" t="s">
        <v>245</v>
      </c>
      <c r="U15" s="115">
        <f>Auszahlungen!Z14</f>
        <v>0</v>
      </c>
      <c r="X15" s="130"/>
      <c r="Y15" s="120">
        <v>7</v>
      </c>
      <c r="Z15" s="33" t="s">
        <v>11</v>
      </c>
      <c r="AA15" s="116" t="str">
        <f t="shared" si="3"/>
        <v/>
      </c>
      <c r="AB15" s="105" t="s">
        <v>245</v>
      </c>
      <c r="AC15" s="115">
        <f>Auszahlungen!AI14</f>
        <v>0</v>
      </c>
    </row>
    <row r="16" spans="1:29" x14ac:dyDescent="0.2">
      <c r="A16" s="120">
        <v>8</v>
      </c>
      <c r="B16" s="33" t="s">
        <v>12</v>
      </c>
      <c r="C16" s="116">
        <f t="shared" si="0"/>
        <v>8</v>
      </c>
      <c r="D16" s="163" t="s">
        <v>245</v>
      </c>
      <c r="E16" s="115">
        <f>Auszahlungen!H15</f>
        <v>24000</v>
      </c>
      <c r="G16" s="154"/>
      <c r="H16" s="130"/>
      <c r="I16" s="120">
        <v>8</v>
      </c>
      <c r="J16" s="33" t="s">
        <v>12</v>
      </c>
      <c r="K16" s="116">
        <f t="shared" si="1"/>
        <v>8</v>
      </c>
      <c r="L16" s="163" t="s">
        <v>245</v>
      </c>
      <c r="M16" s="115">
        <f>Auszahlungen!Q15</f>
        <v>24000</v>
      </c>
      <c r="P16" s="130"/>
      <c r="Q16" s="120">
        <v>8</v>
      </c>
      <c r="R16" s="33" t="s">
        <v>12</v>
      </c>
      <c r="S16" s="116">
        <f t="shared" si="2"/>
        <v>8</v>
      </c>
      <c r="T16" s="163" t="s">
        <v>245</v>
      </c>
      <c r="U16" s="115">
        <f>Auszahlungen!Z15</f>
        <v>24000</v>
      </c>
      <c r="X16" s="130"/>
      <c r="Y16" s="120">
        <v>8</v>
      </c>
      <c r="Z16" s="33" t="s">
        <v>12</v>
      </c>
      <c r="AA16" s="116">
        <f t="shared" si="3"/>
        <v>8</v>
      </c>
      <c r="AB16" s="163" t="s">
        <v>245</v>
      </c>
      <c r="AC16" s="115">
        <f>Auszahlungen!AI15</f>
        <v>23900</v>
      </c>
    </row>
    <row r="17" spans="1:29" x14ac:dyDescent="0.2">
      <c r="A17" s="120">
        <v>9</v>
      </c>
      <c r="B17" s="33" t="s">
        <v>13</v>
      </c>
      <c r="C17" s="116" t="str">
        <f t="shared" si="0"/>
        <v/>
      </c>
      <c r="D17" s="163" t="s">
        <v>247</v>
      </c>
      <c r="E17" s="115">
        <f>Auszahlungen!H16</f>
        <v>0</v>
      </c>
      <c r="G17" s="154"/>
      <c r="H17" s="130"/>
      <c r="I17" s="120">
        <v>9</v>
      </c>
      <c r="J17" s="33" t="s">
        <v>13</v>
      </c>
      <c r="K17" s="116" t="str">
        <f t="shared" si="1"/>
        <v/>
      </c>
      <c r="L17" s="163" t="s">
        <v>247</v>
      </c>
      <c r="M17" s="115">
        <f>Auszahlungen!Q16</f>
        <v>0</v>
      </c>
      <c r="P17" s="130"/>
      <c r="Q17" s="120">
        <v>9</v>
      </c>
      <c r="R17" s="33" t="s">
        <v>13</v>
      </c>
      <c r="S17" s="116" t="str">
        <f t="shared" si="2"/>
        <v/>
      </c>
      <c r="T17" s="163" t="s">
        <v>247</v>
      </c>
      <c r="U17" s="115">
        <f>Auszahlungen!Z16</f>
        <v>0</v>
      </c>
      <c r="X17" s="130"/>
      <c r="Y17" s="120">
        <v>9</v>
      </c>
      <c r="Z17" s="33" t="s">
        <v>13</v>
      </c>
      <c r="AA17" s="116" t="str">
        <f t="shared" si="3"/>
        <v/>
      </c>
      <c r="AB17" s="163" t="s">
        <v>247</v>
      </c>
      <c r="AC17" s="115">
        <f>Auszahlungen!AI16</f>
        <v>0</v>
      </c>
    </row>
    <row r="18" spans="1:29" x14ac:dyDescent="0.2">
      <c r="A18" s="120">
        <v>10</v>
      </c>
      <c r="B18" s="33" t="s">
        <v>14</v>
      </c>
      <c r="C18" s="116">
        <f t="shared" si="0"/>
        <v>10</v>
      </c>
      <c r="D18" s="163" t="s">
        <v>245</v>
      </c>
      <c r="E18" s="115">
        <f>Auszahlungen!H17</f>
        <v>183400</v>
      </c>
      <c r="G18" s="154"/>
      <c r="H18" s="130"/>
      <c r="I18" s="120">
        <v>10</v>
      </c>
      <c r="J18" s="33" t="s">
        <v>14</v>
      </c>
      <c r="K18" s="116">
        <f t="shared" si="1"/>
        <v>10</v>
      </c>
      <c r="L18" s="163" t="s">
        <v>245</v>
      </c>
      <c r="M18" s="115">
        <f>Auszahlungen!Q17</f>
        <v>183400</v>
      </c>
      <c r="P18" s="130"/>
      <c r="Q18" s="120">
        <v>10</v>
      </c>
      <c r="R18" s="33" t="s">
        <v>14</v>
      </c>
      <c r="S18" s="116">
        <f t="shared" si="2"/>
        <v>10</v>
      </c>
      <c r="T18" s="163" t="s">
        <v>245</v>
      </c>
      <c r="U18" s="115">
        <f>Auszahlungen!Z17</f>
        <v>183400</v>
      </c>
      <c r="X18" s="130"/>
      <c r="Y18" s="120">
        <v>10</v>
      </c>
      <c r="Z18" s="33" t="s">
        <v>14</v>
      </c>
      <c r="AA18" s="116">
        <f t="shared" si="3"/>
        <v>10</v>
      </c>
      <c r="AB18" s="163" t="s">
        <v>245</v>
      </c>
      <c r="AC18" s="115">
        <f>Auszahlungen!AI17</f>
        <v>183600</v>
      </c>
    </row>
    <row r="19" spans="1:29" x14ac:dyDescent="0.2">
      <c r="A19" s="120">
        <v>11</v>
      </c>
      <c r="B19" s="33" t="s">
        <v>15</v>
      </c>
      <c r="C19" s="116">
        <f t="shared" si="0"/>
        <v>11</v>
      </c>
      <c r="D19" s="163" t="s">
        <v>245</v>
      </c>
      <c r="E19" s="115">
        <f>Auszahlungen!H18</f>
        <v>454400</v>
      </c>
      <c r="G19" s="154"/>
      <c r="H19" s="130"/>
      <c r="I19" s="120">
        <v>11</v>
      </c>
      <c r="J19" s="33" t="s">
        <v>15</v>
      </c>
      <c r="K19" s="116">
        <f t="shared" si="1"/>
        <v>11</v>
      </c>
      <c r="L19" s="163" t="s">
        <v>245</v>
      </c>
      <c r="M19" s="115">
        <f>Auszahlungen!Q18</f>
        <v>454400</v>
      </c>
      <c r="P19" s="130"/>
      <c r="Q19" s="120">
        <v>11</v>
      </c>
      <c r="R19" s="33" t="s">
        <v>15</v>
      </c>
      <c r="S19" s="116">
        <f t="shared" si="2"/>
        <v>11</v>
      </c>
      <c r="T19" s="163" t="s">
        <v>245</v>
      </c>
      <c r="U19" s="115">
        <f>Auszahlungen!Z18</f>
        <v>454400</v>
      </c>
      <c r="X19" s="130"/>
      <c r="Y19" s="120">
        <v>11</v>
      </c>
      <c r="Z19" s="33" t="s">
        <v>15</v>
      </c>
      <c r="AA19" s="116">
        <f t="shared" si="3"/>
        <v>11</v>
      </c>
      <c r="AB19" s="163" t="s">
        <v>245</v>
      </c>
      <c r="AC19" s="115">
        <f>Auszahlungen!AI18</f>
        <v>455100</v>
      </c>
    </row>
    <row r="20" spans="1:29" x14ac:dyDescent="0.2">
      <c r="A20" s="120">
        <v>12</v>
      </c>
      <c r="B20" s="33" t="s">
        <v>16</v>
      </c>
      <c r="C20" s="116" t="str">
        <f t="shared" si="0"/>
        <v/>
      </c>
      <c r="D20" s="105" t="s">
        <v>245</v>
      </c>
      <c r="E20" s="115">
        <f>Auszahlungen!H19</f>
        <v>0</v>
      </c>
      <c r="G20" s="154"/>
      <c r="H20" s="130"/>
      <c r="I20" s="120">
        <v>12</v>
      </c>
      <c r="J20" s="33" t="s">
        <v>16</v>
      </c>
      <c r="K20" s="116" t="str">
        <f t="shared" si="1"/>
        <v/>
      </c>
      <c r="L20" s="105" t="s">
        <v>245</v>
      </c>
      <c r="M20" s="115">
        <f>Auszahlungen!Q19</f>
        <v>0</v>
      </c>
      <c r="P20" s="130"/>
      <c r="Q20" s="120">
        <v>12</v>
      </c>
      <c r="R20" s="33" t="s">
        <v>16</v>
      </c>
      <c r="S20" s="116" t="str">
        <f t="shared" si="2"/>
        <v/>
      </c>
      <c r="T20" s="105" t="s">
        <v>245</v>
      </c>
      <c r="U20" s="115">
        <f>Auszahlungen!Z19</f>
        <v>0</v>
      </c>
      <c r="X20" s="130"/>
      <c r="Y20" s="120">
        <v>12</v>
      </c>
      <c r="Z20" s="33" t="s">
        <v>16</v>
      </c>
      <c r="AA20" s="116" t="str">
        <f t="shared" si="3"/>
        <v/>
      </c>
      <c r="AB20" s="105" t="s">
        <v>245</v>
      </c>
      <c r="AC20" s="115">
        <f>Auszahlungen!AI19</f>
        <v>0</v>
      </c>
    </row>
    <row r="21" spans="1:29" x14ac:dyDescent="0.2">
      <c r="A21" s="120">
        <v>13</v>
      </c>
      <c r="B21" s="33" t="s">
        <v>17</v>
      </c>
      <c r="C21" s="116">
        <f t="shared" si="0"/>
        <v>13</v>
      </c>
      <c r="D21" s="163" t="s">
        <v>247</v>
      </c>
      <c r="E21" s="115">
        <f>Auszahlungen!H20</f>
        <v>1606700</v>
      </c>
      <c r="G21" s="154"/>
      <c r="H21" s="130"/>
      <c r="I21" s="120">
        <v>13</v>
      </c>
      <c r="J21" s="33" t="s">
        <v>17</v>
      </c>
      <c r="K21" s="116">
        <f t="shared" si="1"/>
        <v>13</v>
      </c>
      <c r="L21" s="163" t="s">
        <v>247</v>
      </c>
      <c r="M21" s="115">
        <f>Auszahlungen!Q20</f>
        <v>1606700</v>
      </c>
      <c r="P21" s="130"/>
      <c r="Q21" s="120">
        <v>13</v>
      </c>
      <c r="R21" s="33" t="s">
        <v>17</v>
      </c>
      <c r="S21" s="116">
        <f t="shared" si="2"/>
        <v>13</v>
      </c>
      <c r="T21" s="163" t="s">
        <v>247</v>
      </c>
      <c r="U21" s="115">
        <f>Auszahlungen!Z20</f>
        <v>1606700</v>
      </c>
      <c r="X21" s="130"/>
      <c r="Y21" s="120">
        <v>13</v>
      </c>
      <c r="Z21" s="33" t="s">
        <v>17</v>
      </c>
      <c r="AA21" s="116">
        <f t="shared" si="3"/>
        <v>13</v>
      </c>
      <c r="AB21" s="163" t="s">
        <v>247</v>
      </c>
      <c r="AC21" s="115">
        <f>Auszahlungen!AI20</f>
        <v>1607700</v>
      </c>
    </row>
    <row r="22" spans="1:29" x14ac:dyDescent="0.2">
      <c r="A22" s="120">
        <v>14</v>
      </c>
      <c r="B22" s="33" t="s">
        <v>18</v>
      </c>
      <c r="C22" s="116" t="str">
        <f t="shared" si="0"/>
        <v/>
      </c>
      <c r="D22" s="105" t="s">
        <v>247</v>
      </c>
      <c r="E22" s="115">
        <f>Auszahlungen!H21</f>
        <v>0</v>
      </c>
      <c r="G22" s="154"/>
      <c r="H22" s="130"/>
      <c r="I22" s="120">
        <v>14</v>
      </c>
      <c r="J22" s="33" t="s">
        <v>18</v>
      </c>
      <c r="K22" s="116" t="str">
        <f t="shared" si="1"/>
        <v/>
      </c>
      <c r="L22" s="105" t="s">
        <v>247</v>
      </c>
      <c r="M22" s="115">
        <f>Auszahlungen!Q21</f>
        <v>0</v>
      </c>
      <c r="P22" s="130"/>
      <c r="Q22" s="120">
        <v>14</v>
      </c>
      <c r="R22" s="33" t="s">
        <v>18</v>
      </c>
      <c r="S22" s="116" t="str">
        <f t="shared" si="2"/>
        <v/>
      </c>
      <c r="T22" s="105" t="s">
        <v>247</v>
      </c>
      <c r="U22" s="115">
        <f>Auszahlungen!Z21</f>
        <v>0</v>
      </c>
      <c r="X22" s="130"/>
      <c r="Y22" s="120">
        <v>14</v>
      </c>
      <c r="Z22" s="33" t="s">
        <v>18</v>
      </c>
      <c r="AA22" s="116" t="str">
        <f t="shared" si="3"/>
        <v/>
      </c>
      <c r="AB22" s="105" t="s">
        <v>247</v>
      </c>
      <c r="AC22" s="115">
        <f>Auszahlungen!AI21</f>
        <v>0</v>
      </c>
    </row>
    <row r="23" spans="1:29" x14ac:dyDescent="0.2">
      <c r="A23" s="120">
        <v>15</v>
      </c>
      <c r="B23" s="33" t="s">
        <v>19</v>
      </c>
      <c r="C23" s="116">
        <f t="shared" si="0"/>
        <v>15</v>
      </c>
      <c r="D23" s="105" t="s">
        <v>247</v>
      </c>
      <c r="E23" s="115">
        <f>Auszahlungen!H22</f>
        <v>336300</v>
      </c>
      <c r="G23" s="154"/>
      <c r="H23" s="130"/>
      <c r="I23" s="120">
        <v>15</v>
      </c>
      <c r="J23" s="33" t="s">
        <v>19</v>
      </c>
      <c r="K23" s="116">
        <f t="shared" si="1"/>
        <v>15</v>
      </c>
      <c r="L23" s="105" t="s">
        <v>247</v>
      </c>
      <c r="M23" s="115">
        <f>Auszahlungen!Q22</f>
        <v>336300</v>
      </c>
      <c r="P23" s="130"/>
      <c r="Q23" s="120">
        <v>15</v>
      </c>
      <c r="R23" s="33" t="s">
        <v>19</v>
      </c>
      <c r="S23" s="116">
        <f t="shared" si="2"/>
        <v>15</v>
      </c>
      <c r="T23" s="105" t="s">
        <v>247</v>
      </c>
      <c r="U23" s="115">
        <f>Auszahlungen!Z22</f>
        <v>336300</v>
      </c>
      <c r="X23" s="130"/>
      <c r="Y23" s="120">
        <v>15</v>
      </c>
      <c r="Z23" s="33" t="s">
        <v>19</v>
      </c>
      <c r="AA23" s="116">
        <f t="shared" si="3"/>
        <v>15</v>
      </c>
      <c r="AB23" s="105" t="s">
        <v>247</v>
      </c>
      <c r="AC23" s="115">
        <f>Auszahlungen!AI22</f>
        <v>336500</v>
      </c>
    </row>
    <row r="24" spans="1:29" x14ac:dyDescent="0.2">
      <c r="A24" s="120">
        <v>16</v>
      </c>
      <c r="B24" s="33" t="s">
        <v>20</v>
      </c>
      <c r="C24" s="116">
        <f t="shared" si="0"/>
        <v>16</v>
      </c>
      <c r="D24" s="163" t="s">
        <v>245</v>
      </c>
      <c r="E24" s="115">
        <f>Auszahlungen!H23</f>
        <v>956100</v>
      </c>
      <c r="G24" s="154"/>
      <c r="H24" s="130"/>
      <c r="I24" s="120">
        <v>16</v>
      </c>
      <c r="J24" s="33" t="s">
        <v>20</v>
      </c>
      <c r="K24" s="116">
        <f t="shared" si="1"/>
        <v>16</v>
      </c>
      <c r="L24" s="163" t="s">
        <v>245</v>
      </c>
      <c r="M24" s="115">
        <f>Auszahlungen!Q23</f>
        <v>956100</v>
      </c>
      <c r="P24" s="130"/>
      <c r="Q24" s="120">
        <v>16</v>
      </c>
      <c r="R24" s="33" t="s">
        <v>20</v>
      </c>
      <c r="S24" s="116">
        <f t="shared" si="2"/>
        <v>16</v>
      </c>
      <c r="T24" s="163" t="s">
        <v>245</v>
      </c>
      <c r="U24" s="115">
        <f>Auszahlungen!Z23</f>
        <v>956100</v>
      </c>
      <c r="X24" s="130"/>
      <c r="Y24" s="120">
        <v>16</v>
      </c>
      <c r="Z24" s="33" t="s">
        <v>20</v>
      </c>
      <c r="AA24" s="116">
        <f t="shared" si="3"/>
        <v>16</v>
      </c>
      <c r="AB24" s="163" t="s">
        <v>245</v>
      </c>
      <c r="AC24" s="115">
        <f>Auszahlungen!AI23</f>
        <v>955900</v>
      </c>
    </row>
    <row r="25" spans="1:29" x14ac:dyDescent="0.2">
      <c r="A25" s="120">
        <v>17</v>
      </c>
      <c r="B25" s="33" t="s">
        <v>21</v>
      </c>
      <c r="C25" s="116">
        <f t="shared" si="0"/>
        <v>17</v>
      </c>
      <c r="D25" s="163" t="s">
        <v>245</v>
      </c>
      <c r="E25" s="115">
        <f>Auszahlungen!H24</f>
        <v>13800</v>
      </c>
      <c r="G25" s="154"/>
      <c r="H25" s="130"/>
      <c r="I25" s="120">
        <v>17</v>
      </c>
      <c r="J25" s="33" t="s">
        <v>21</v>
      </c>
      <c r="K25" s="116">
        <f t="shared" si="1"/>
        <v>17</v>
      </c>
      <c r="L25" s="163" t="s">
        <v>245</v>
      </c>
      <c r="M25" s="115">
        <f>Auszahlungen!Q24</f>
        <v>13800</v>
      </c>
      <c r="P25" s="130"/>
      <c r="Q25" s="120">
        <v>17</v>
      </c>
      <c r="R25" s="33" t="s">
        <v>21</v>
      </c>
      <c r="S25" s="116">
        <f t="shared" si="2"/>
        <v>17</v>
      </c>
      <c r="T25" s="163" t="s">
        <v>245</v>
      </c>
      <c r="U25" s="115">
        <f>Auszahlungen!Z24</f>
        <v>13800</v>
      </c>
      <c r="X25" s="130"/>
      <c r="Y25" s="120">
        <v>17</v>
      </c>
      <c r="Z25" s="33" t="s">
        <v>21</v>
      </c>
      <c r="AA25" s="116">
        <f t="shared" si="3"/>
        <v>17</v>
      </c>
      <c r="AB25" s="163" t="s">
        <v>245</v>
      </c>
      <c r="AC25" s="115">
        <f>Auszahlungen!AI24</f>
        <v>14400</v>
      </c>
    </row>
    <row r="26" spans="1:29" x14ac:dyDescent="0.2">
      <c r="A26" s="120">
        <v>18</v>
      </c>
      <c r="B26" s="33" t="s">
        <v>22</v>
      </c>
      <c r="C26" s="116">
        <f t="shared" si="0"/>
        <v>18</v>
      </c>
      <c r="D26" s="163" t="s">
        <v>245</v>
      </c>
      <c r="E26" s="115">
        <f>Auszahlungen!H25</f>
        <v>15600</v>
      </c>
      <c r="G26" s="154"/>
      <c r="H26" s="130"/>
      <c r="I26" s="120">
        <v>18</v>
      </c>
      <c r="J26" s="33" t="s">
        <v>22</v>
      </c>
      <c r="K26" s="116">
        <f t="shared" si="1"/>
        <v>18</v>
      </c>
      <c r="L26" s="163" t="s">
        <v>245</v>
      </c>
      <c r="M26" s="115">
        <f>Auszahlungen!Q25</f>
        <v>15600</v>
      </c>
      <c r="P26" s="130"/>
      <c r="Q26" s="120">
        <v>18</v>
      </c>
      <c r="R26" s="33" t="s">
        <v>22</v>
      </c>
      <c r="S26" s="116">
        <f t="shared" si="2"/>
        <v>18</v>
      </c>
      <c r="T26" s="163" t="s">
        <v>245</v>
      </c>
      <c r="U26" s="115">
        <f>Auszahlungen!Z25</f>
        <v>15600</v>
      </c>
      <c r="X26" s="130"/>
      <c r="Y26" s="120">
        <v>18</v>
      </c>
      <c r="Z26" s="33" t="s">
        <v>22</v>
      </c>
      <c r="AA26" s="116">
        <f t="shared" si="3"/>
        <v>18</v>
      </c>
      <c r="AB26" s="163" t="s">
        <v>245</v>
      </c>
      <c r="AC26" s="115">
        <f>Auszahlungen!AI25</f>
        <v>15800</v>
      </c>
    </row>
    <row r="27" spans="1:29" x14ac:dyDescent="0.2">
      <c r="A27" s="120">
        <v>19</v>
      </c>
      <c r="B27" s="33" t="s">
        <v>23</v>
      </c>
      <c r="C27" s="116" t="str">
        <f t="shared" si="0"/>
        <v/>
      </c>
      <c r="D27" s="105" t="s">
        <v>245</v>
      </c>
      <c r="E27" s="115">
        <f>Auszahlungen!H26</f>
        <v>0</v>
      </c>
      <c r="G27" s="154"/>
      <c r="H27" s="130"/>
      <c r="I27" s="120">
        <v>19</v>
      </c>
      <c r="J27" s="33" t="s">
        <v>23</v>
      </c>
      <c r="K27" s="116" t="str">
        <f t="shared" si="1"/>
        <v/>
      </c>
      <c r="L27" s="105" t="s">
        <v>245</v>
      </c>
      <c r="M27" s="115">
        <f>Auszahlungen!Q26</f>
        <v>0</v>
      </c>
      <c r="P27" s="130"/>
      <c r="Q27" s="120">
        <v>19</v>
      </c>
      <c r="R27" s="33" t="s">
        <v>23</v>
      </c>
      <c r="S27" s="116" t="str">
        <f t="shared" si="2"/>
        <v/>
      </c>
      <c r="T27" s="105" t="s">
        <v>245</v>
      </c>
      <c r="U27" s="115">
        <f>Auszahlungen!Z26</f>
        <v>0</v>
      </c>
      <c r="X27" s="130"/>
      <c r="Y27" s="120">
        <v>19</v>
      </c>
      <c r="Z27" s="33" t="s">
        <v>23</v>
      </c>
      <c r="AA27" s="116" t="str">
        <f t="shared" si="3"/>
        <v/>
      </c>
      <c r="AB27" s="105" t="s">
        <v>245</v>
      </c>
      <c r="AC27" s="115">
        <f>Auszahlungen!AI26</f>
        <v>0</v>
      </c>
    </row>
    <row r="28" spans="1:29" x14ac:dyDescent="0.2">
      <c r="A28" s="120">
        <v>20</v>
      </c>
      <c r="B28" s="33" t="s">
        <v>24</v>
      </c>
      <c r="C28" s="116">
        <f t="shared" si="0"/>
        <v>20</v>
      </c>
      <c r="D28" s="105" t="s">
        <v>245</v>
      </c>
      <c r="E28" s="115">
        <f>Auszahlungen!H27</f>
        <v>137100</v>
      </c>
      <c r="G28" s="154"/>
      <c r="H28" s="130"/>
      <c r="I28" s="120">
        <v>20</v>
      </c>
      <c r="J28" s="33" t="s">
        <v>24</v>
      </c>
      <c r="K28" s="116">
        <f t="shared" si="1"/>
        <v>20</v>
      </c>
      <c r="L28" s="105" t="s">
        <v>245</v>
      </c>
      <c r="M28" s="115">
        <f>Auszahlungen!Q27</f>
        <v>137100</v>
      </c>
      <c r="P28" s="130"/>
      <c r="Q28" s="120">
        <v>20</v>
      </c>
      <c r="R28" s="33" t="s">
        <v>24</v>
      </c>
      <c r="S28" s="116">
        <f t="shared" si="2"/>
        <v>20</v>
      </c>
      <c r="T28" s="105" t="s">
        <v>245</v>
      </c>
      <c r="U28" s="115">
        <f>Auszahlungen!Z27</f>
        <v>137100</v>
      </c>
      <c r="X28" s="130"/>
      <c r="Y28" s="120">
        <v>20</v>
      </c>
      <c r="Z28" s="33" t="s">
        <v>24</v>
      </c>
      <c r="AA28" s="116">
        <f t="shared" si="3"/>
        <v>20</v>
      </c>
      <c r="AB28" s="105" t="s">
        <v>245</v>
      </c>
      <c r="AC28" s="115">
        <f>Auszahlungen!AI27</f>
        <v>138300</v>
      </c>
    </row>
    <row r="29" spans="1:29" x14ac:dyDescent="0.2">
      <c r="A29" s="120">
        <v>21</v>
      </c>
      <c r="B29" s="33" t="s">
        <v>25</v>
      </c>
      <c r="C29" s="116">
        <f t="shared" si="0"/>
        <v>21</v>
      </c>
      <c r="D29" s="163" t="s">
        <v>244</v>
      </c>
      <c r="E29" s="115">
        <f>Auszahlungen!H28</f>
        <v>6500</v>
      </c>
      <c r="G29" s="154"/>
      <c r="H29" s="130"/>
      <c r="I29" s="120">
        <v>21</v>
      </c>
      <c r="J29" s="33" t="s">
        <v>25</v>
      </c>
      <c r="K29" s="116">
        <f t="shared" si="1"/>
        <v>21</v>
      </c>
      <c r="L29" s="163" t="s">
        <v>244</v>
      </c>
      <c r="M29" s="115">
        <f>Auszahlungen!Q28</f>
        <v>6500</v>
      </c>
      <c r="P29" s="130"/>
      <c r="Q29" s="120">
        <v>21</v>
      </c>
      <c r="R29" s="33" t="s">
        <v>25</v>
      </c>
      <c r="S29" s="116">
        <f t="shared" si="2"/>
        <v>21</v>
      </c>
      <c r="T29" s="163" t="s">
        <v>244</v>
      </c>
      <c r="U29" s="115">
        <f>Auszahlungen!Z28</f>
        <v>6500</v>
      </c>
      <c r="X29" s="130"/>
      <c r="Y29" s="120">
        <v>21</v>
      </c>
      <c r="Z29" s="33" t="s">
        <v>25</v>
      </c>
      <c r="AA29" s="116">
        <f t="shared" si="3"/>
        <v>21</v>
      </c>
      <c r="AB29" s="163" t="s">
        <v>244</v>
      </c>
      <c r="AC29" s="115">
        <f>Auszahlungen!AI28</f>
        <v>6400</v>
      </c>
    </row>
    <row r="30" spans="1:29" x14ac:dyDescent="0.2">
      <c r="A30" s="120">
        <v>22</v>
      </c>
      <c r="B30" s="33" t="s">
        <v>26</v>
      </c>
      <c r="C30" s="116">
        <f t="shared" si="0"/>
        <v>22</v>
      </c>
      <c r="D30" s="163" t="s">
        <v>247</v>
      </c>
      <c r="E30" s="115">
        <f>Auszahlungen!H29</f>
        <v>221500</v>
      </c>
      <c r="G30" s="154"/>
      <c r="H30" s="130"/>
      <c r="I30" s="120">
        <v>22</v>
      </c>
      <c r="J30" s="33" t="s">
        <v>26</v>
      </c>
      <c r="K30" s="116">
        <f t="shared" si="1"/>
        <v>22</v>
      </c>
      <c r="L30" s="163" t="s">
        <v>247</v>
      </c>
      <c r="M30" s="115">
        <f>Auszahlungen!Q29</f>
        <v>221500</v>
      </c>
      <c r="P30" s="130"/>
      <c r="Q30" s="120">
        <v>22</v>
      </c>
      <c r="R30" s="33" t="s">
        <v>26</v>
      </c>
      <c r="S30" s="116">
        <f t="shared" si="2"/>
        <v>22</v>
      </c>
      <c r="T30" s="163" t="s">
        <v>247</v>
      </c>
      <c r="U30" s="115">
        <f>Auszahlungen!Z29</f>
        <v>221500</v>
      </c>
      <c r="X30" s="130"/>
      <c r="Y30" s="120">
        <v>22</v>
      </c>
      <c r="Z30" s="33" t="s">
        <v>26</v>
      </c>
      <c r="AA30" s="116">
        <f t="shared" si="3"/>
        <v>22</v>
      </c>
      <c r="AB30" s="163" t="s">
        <v>247</v>
      </c>
      <c r="AC30" s="115">
        <f>Auszahlungen!AI29</f>
        <v>221600</v>
      </c>
    </row>
    <row r="31" spans="1:29" x14ac:dyDescent="0.2">
      <c r="A31" s="120">
        <v>23</v>
      </c>
      <c r="B31" s="33" t="s">
        <v>27</v>
      </c>
      <c r="C31" s="116">
        <f t="shared" si="0"/>
        <v>23</v>
      </c>
      <c r="D31" s="105" t="s">
        <v>245</v>
      </c>
      <c r="E31" s="115">
        <f>Auszahlungen!H30</f>
        <v>291500</v>
      </c>
      <c r="G31" s="154"/>
      <c r="H31" s="130"/>
      <c r="I31" s="120">
        <v>23</v>
      </c>
      <c r="J31" s="33" t="s">
        <v>27</v>
      </c>
      <c r="K31" s="116">
        <f t="shared" si="1"/>
        <v>23</v>
      </c>
      <c r="L31" s="105" t="s">
        <v>245</v>
      </c>
      <c r="M31" s="115">
        <f>Auszahlungen!Q30</f>
        <v>291500</v>
      </c>
      <c r="P31" s="130"/>
      <c r="Q31" s="120">
        <v>23</v>
      </c>
      <c r="R31" s="33" t="s">
        <v>27</v>
      </c>
      <c r="S31" s="116">
        <f t="shared" si="2"/>
        <v>23</v>
      </c>
      <c r="T31" s="105" t="s">
        <v>245</v>
      </c>
      <c r="U31" s="115">
        <f>Auszahlungen!Z30</f>
        <v>291500</v>
      </c>
      <c r="X31" s="130"/>
      <c r="Y31" s="120">
        <v>23</v>
      </c>
      <c r="Z31" s="33" t="s">
        <v>27</v>
      </c>
      <c r="AA31" s="116">
        <f t="shared" si="3"/>
        <v>23</v>
      </c>
      <c r="AB31" s="105" t="s">
        <v>245</v>
      </c>
      <c r="AC31" s="115">
        <f>Auszahlungen!AI30</f>
        <v>291500</v>
      </c>
    </row>
    <row r="32" spans="1:29" x14ac:dyDescent="0.2">
      <c r="A32" s="120">
        <v>24</v>
      </c>
      <c r="B32" s="33" t="s">
        <v>28</v>
      </c>
      <c r="C32" s="116">
        <f t="shared" si="0"/>
        <v>24</v>
      </c>
      <c r="D32" s="105" t="s">
        <v>245</v>
      </c>
      <c r="E32" s="115">
        <f>Auszahlungen!H31</f>
        <v>314100</v>
      </c>
      <c r="G32" s="154"/>
      <c r="H32" s="130"/>
      <c r="I32" s="120">
        <v>24</v>
      </c>
      <c r="J32" s="33" t="s">
        <v>28</v>
      </c>
      <c r="K32" s="116">
        <f t="shared" si="1"/>
        <v>24</v>
      </c>
      <c r="L32" s="105" t="s">
        <v>245</v>
      </c>
      <c r="M32" s="115">
        <f>Auszahlungen!Q31</f>
        <v>314100</v>
      </c>
      <c r="P32" s="130"/>
      <c r="Q32" s="120">
        <v>24</v>
      </c>
      <c r="R32" s="33" t="s">
        <v>28</v>
      </c>
      <c r="S32" s="116">
        <f t="shared" si="2"/>
        <v>24</v>
      </c>
      <c r="T32" s="105" t="s">
        <v>245</v>
      </c>
      <c r="U32" s="115">
        <f>Auszahlungen!Z31</f>
        <v>314100</v>
      </c>
      <c r="X32" s="130"/>
      <c r="Y32" s="120">
        <v>24</v>
      </c>
      <c r="Z32" s="33" t="s">
        <v>28</v>
      </c>
      <c r="AA32" s="116">
        <f t="shared" si="3"/>
        <v>24</v>
      </c>
      <c r="AB32" s="105" t="s">
        <v>245</v>
      </c>
      <c r="AC32" s="115">
        <f>Auszahlungen!AI31</f>
        <v>314400</v>
      </c>
    </row>
    <row r="33" spans="1:29" x14ac:dyDescent="0.2">
      <c r="A33" s="120">
        <v>25</v>
      </c>
      <c r="B33" s="33" t="s">
        <v>29</v>
      </c>
      <c r="C33" s="116">
        <f t="shared" si="0"/>
        <v>25</v>
      </c>
      <c r="D33" s="105" t="s">
        <v>245</v>
      </c>
      <c r="E33" s="115">
        <f>Auszahlungen!H32</f>
        <v>356400</v>
      </c>
      <c r="G33" s="154"/>
      <c r="H33" s="130"/>
      <c r="I33" s="120">
        <v>25</v>
      </c>
      <c r="J33" s="33" t="s">
        <v>29</v>
      </c>
      <c r="K33" s="116">
        <f t="shared" si="1"/>
        <v>25</v>
      </c>
      <c r="L33" s="105" t="s">
        <v>245</v>
      </c>
      <c r="M33" s="115">
        <f>Auszahlungen!Q32</f>
        <v>356400</v>
      </c>
      <c r="P33" s="130"/>
      <c r="Q33" s="120">
        <v>25</v>
      </c>
      <c r="R33" s="33" t="s">
        <v>29</v>
      </c>
      <c r="S33" s="116">
        <f t="shared" si="2"/>
        <v>25</v>
      </c>
      <c r="T33" s="105" t="s">
        <v>245</v>
      </c>
      <c r="U33" s="115">
        <f>Auszahlungen!Z32</f>
        <v>356400</v>
      </c>
      <c r="X33" s="130"/>
      <c r="Y33" s="120">
        <v>25</v>
      </c>
      <c r="Z33" s="33" t="s">
        <v>29</v>
      </c>
      <c r="AA33" s="116">
        <f t="shared" si="3"/>
        <v>25</v>
      </c>
      <c r="AB33" s="105" t="s">
        <v>245</v>
      </c>
      <c r="AC33" s="115">
        <f>Auszahlungen!AI32</f>
        <v>356800</v>
      </c>
    </row>
    <row r="34" spans="1:29" x14ac:dyDescent="0.2">
      <c r="A34" s="120">
        <v>26</v>
      </c>
      <c r="B34" s="33" t="s">
        <v>30</v>
      </c>
      <c r="C34" s="116">
        <f t="shared" si="0"/>
        <v>26</v>
      </c>
      <c r="D34" s="105" t="s">
        <v>245</v>
      </c>
      <c r="E34" s="115">
        <f>Auszahlungen!H33</f>
        <v>863700</v>
      </c>
      <c r="G34" s="154"/>
      <c r="H34" s="130"/>
      <c r="I34" s="120">
        <v>26</v>
      </c>
      <c r="J34" s="33" t="s">
        <v>30</v>
      </c>
      <c r="K34" s="116">
        <f t="shared" si="1"/>
        <v>26</v>
      </c>
      <c r="L34" s="105" t="s">
        <v>245</v>
      </c>
      <c r="M34" s="115">
        <f>Auszahlungen!Q33</f>
        <v>863700</v>
      </c>
      <c r="P34" s="130"/>
      <c r="Q34" s="120">
        <v>26</v>
      </c>
      <c r="R34" s="33" t="s">
        <v>30</v>
      </c>
      <c r="S34" s="116">
        <f t="shared" si="2"/>
        <v>26</v>
      </c>
      <c r="T34" s="105" t="s">
        <v>245</v>
      </c>
      <c r="U34" s="115">
        <f>Auszahlungen!Z33</f>
        <v>863700</v>
      </c>
      <c r="X34" s="130"/>
      <c r="Y34" s="120">
        <v>26</v>
      </c>
      <c r="Z34" s="33" t="s">
        <v>30</v>
      </c>
      <c r="AA34" s="116">
        <f t="shared" si="3"/>
        <v>26</v>
      </c>
      <c r="AB34" s="105" t="s">
        <v>245</v>
      </c>
      <c r="AC34" s="115">
        <f>Auszahlungen!AI33</f>
        <v>865800</v>
      </c>
    </row>
    <row r="35" spans="1:29" x14ac:dyDescent="0.2">
      <c r="A35" s="120">
        <v>27</v>
      </c>
      <c r="B35" s="33" t="s">
        <v>31</v>
      </c>
      <c r="C35" s="116">
        <f t="shared" si="0"/>
        <v>27</v>
      </c>
      <c r="D35" s="105" t="s">
        <v>247</v>
      </c>
      <c r="E35" s="115">
        <f>Auszahlungen!H34</f>
        <v>459200</v>
      </c>
      <c r="G35" s="154"/>
      <c r="H35" s="130"/>
      <c r="I35" s="120">
        <v>27</v>
      </c>
      <c r="J35" s="33" t="s">
        <v>31</v>
      </c>
      <c r="K35" s="116">
        <f t="shared" si="1"/>
        <v>27</v>
      </c>
      <c r="L35" s="105" t="s">
        <v>247</v>
      </c>
      <c r="M35" s="115">
        <f>Auszahlungen!Q34</f>
        <v>459200</v>
      </c>
      <c r="P35" s="130"/>
      <c r="Q35" s="120">
        <v>27</v>
      </c>
      <c r="R35" s="33" t="s">
        <v>31</v>
      </c>
      <c r="S35" s="116">
        <f t="shared" si="2"/>
        <v>27</v>
      </c>
      <c r="T35" s="105" t="s">
        <v>247</v>
      </c>
      <c r="U35" s="115">
        <f>Auszahlungen!Z34</f>
        <v>459200</v>
      </c>
      <c r="X35" s="130"/>
      <c r="Y35" s="120">
        <v>27</v>
      </c>
      <c r="Z35" s="33" t="s">
        <v>31</v>
      </c>
      <c r="AA35" s="116">
        <f t="shared" si="3"/>
        <v>27</v>
      </c>
      <c r="AB35" s="105" t="s">
        <v>247</v>
      </c>
      <c r="AC35" s="115">
        <f>Auszahlungen!AI34</f>
        <v>460000</v>
      </c>
    </row>
    <row r="36" spans="1:29" x14ac:dyDescent="0.2">
      <c r="A36" s="120">
        <v>28</v>
      </c>
      <c r="B36" s="33" t="s">
        <v>32</v>
      </c>
      <c r="C36" s="116" t="str">
        <f t="shared" si="0"/>
        <v/>
      </c>
      <c r="D36" s="105" t="s">
        <v>248</v>
      </c>
      <c r="E36" s="115">
        <f>Auszahlungen!H35</f>
        <v>0</v>
      </c>
      <c r="G36" s="154"/>
      <c r="H36" s="130"/>
      <c r="I36" s="120">
        <v>28</v>
      </c>
      <c r="J36" s="33" t="s">
        <v>32</v>
      </c>
      <c r="K36" s="116" t="str">
        <f t="shared" si="1"/>
        <v/>
      </c>
      <c r="L36" s="105" t="s">
        <v>248</v>
      </c>
      <c r="M36" s="115">
        <f>Auszahlungen!Q35</f>
        <v>0</v>
      </c>
      <c r="P36" s="130"/>
      <c r="Q36" s="120">
        <v>28</v>
      </c>
      <c r="R36" s="33" t="s">
        <v>32</v>
      </c>
      <c r="S36" s="116" t="str">
        <f t="shared" si="2"/>
        <v/>
      </c>
      <c r="T36" s="105" t="s">
        <v>248</v>
      </c>
      <c r="U36" s="115">
        <f>Auszahlungen!Z35</f>
        <v>0</v>
      </c>
      <c r="X36" s="130"/>
      <c r="Y36" s="120">
        <v>28</v>
      </c>
      <c r="Z36" s="33" t="s">
        <v>32</v>
      </c>
      <c r="AA36" s="116" t="str">
        <f t="shared" si="3"/>
        <v/>
      </c>
      <c r="AB36" s="105" t="s">
        <v>248</v>
      </c>
      <c r="AC36" s="115">
        <f>Auszahlungen!AI35</f>
        <v>0</v>
      </c>
    </row>
    <row r="37" spans="1:29" x14ac:dyDescent="0.2">
      <c r="A37" s="120">
        <v>29</v>
      </c>
      <c r="B37" s="33" t="s">
        <v>33</v>
      </c>
      <c r="C37" s="116">
        <f t="shared" si="0"/>
        <v>29</v>
      </c>
      <c r="D37" s="163" t="s">
        <v>245</v>
      </c>
      <c r="E37" s="115">
        <f>Auszahlungen!H36</f>
        <v>647600</v>
      </c>
      <c r="G37" s="154"/>
      <c r="H37" s="130"/>
      <c r="I37" s="120">
        <v>29</v>
      </c>
      <c r="J37" s="33" t="s">
        <v>33</v>
      </c>
      <c r="K37" s="116">
        <f t="shared" si="1"/>
        <v>29</v>
      </c>
      <c r="L37" s="163" t="s">
        <v>245</v>
      </c>
      <c r="M37" s="115">
        <f>Auszahlungen!Q36</f>
        <v>647600</v>
      </c>
      <c r="P37" s="130"/>
      <c r="Q37" s="120">
        <v>29</v>
      </c>
      <c r="R37" s="33" t="s">
        <v>33</v>
      </c>
      <c r="S37" s="116">
        <f t="shared" si="2"/>
        <v>29</v>
      </c>
      <c r="T37" s="163" t="s">
        <v>245</v>
      </c>
      <c r="U37" s="115">
        <f>Auszahlungen!Z36</f>
        <v>647600</v>
      </c>
      <c r="X37" s="130"/>
      <c r="Y37" s="120">
        <v>29</v>
      </c>
      <c r="Z37" s="33" t="s">
        <v>33</v>
      </c>
      <c r="AA37" s="116">
        <f t="shared" si="3"/>
        <v>29</v>
      </c>
      <c r="AB37" s="163" t="s">
        <v>245</v>
      </c>
      <c r="AC37" s="115">
        <f>Auszahlungen!AI36</f>
        <v>647900</v>
      </c>
    </row>
    <row r="38" spans="1:29" x14ac:dyDescent="0.2">
      <c r="A38" s="120">
        <v>30</v>
      </c>
      <c r="B38" s="33" t="s">
        <v>34</v>
      </c>
      <c r="C38" s="116">
        <f t="shared" si="0"/>
        <v>30</v>
      </c>
      <c r="D38" s="105" t="s">
        <v>245</v>
      </c>
      <c r="E38" s="115">
        <f>Auszahlungen!H37</f>
        <v>1405800</v>
      </c>
      <c r="G38" s="154"/>
      <c r="H38" s="130"/>
      <c r="I38" s="120">
        <v>30</v>
      </c>
      <c r="J38" s="33" t="s">
        <v>34</v>
      </c>
      <c r="K38" s="116">
        <f t="shared" si="1"/>
        <v>30</v>
      </c>
      <c r="L38" s="105" t="s">
        <v>245</v>
      </c>
      <c r="M38" s="115">
        <f>Auszahlungen!Q37</f>
        <v>1405800</v>
      </c>
      <c r="P38" s="130"/>
      <c r="Q38" s="120">
        <v>30</v>
      </c>
      <c r="R38" s="33" t="s">
        <v>34</v>
      </c>
      <c r="S38" s="116">
        <f t="shared" si="2"/>
        <v>30</v>
      </c>
      <c r="T38" s="105" t="s">
        <v>245</v>
      </c>
      <c r="U38" s="115">
        <f>Auszahlungen!Z37</f>
        <v>1405800</v>
      </c>
      <c r="X38" s="130"/>
      <c r="Y38" s="120">
        <v>30</v>
      </c>
      <c r="Z38" s="33" t="s">
        <v>34</v>
      </c>
      <c r="AA38" s="116">
        <f t="shared" si="3"/>
        <v>30</v>
      </c>
      <c r="AB38" s="105" t="s">
        <v>245</v>
      </c>
      <c r="AC38" s="115">
        <f>Auszahlungen!AI37</f>
        <v>1408000</v>
      </c>
    </row>
    <row r="39" spans="1:29" x14ac:dyDescent="0.2">
      <c r="A39" s="120">
        <v>31</v>
      </c>
      <c r="B39" s="33" t="s">
        <v>35</v>
      </c>
      <c r="C39" s="116" t="str">
        <f t="shared" si="0"/>
        <v/>
      </c>
      <c r="D39" s="105" t="s">
        <v>243</v>
      </c>
      <c r="E39" s="115">
        <f>Auszahlungen!H38</f>
        <v>0</v>
      </c>
      <c r="G39" s="154"/>
      <c r="H39" s="130"/>
      <c r="I39" s="120">
        <v>31</v>
      </c>
      <c r="J39" s="33" t="s">
        <v>35</v>
      </c>
      <c r="K39" s="116" t="str">
        <f t="shared" si="1"/>
        <v/>
      </c>
      <c r="L39" s="105" t="s">
        <v>243</v>
      </c>
      <c r="M39" s="115">
        <f>Auszahlungen!Q38</f>
        <v>0</v>
      </c>
      <c r="P39" s="130"/>
      <c r="Q39" s="120">
        <v>31</v>
      </c>
      <c r="R39" s="33" t="s">
        <v>35</v>
      </c>
      <c r="S39" s="116" t="str">
        <f t="shared" si="2"/>
        <v/>
      </c>
      <c r="T39" s="105" t="s">
        <v>243</v>
      </c>
      <c r="U39" s="115">
        <f>Auszahlungen!Z38</f>
        <v>0</v>
      </c>
      <c r="X39" s="130"/>
      <c r="Y39" s="120">
        <v>31</v>
      </c>
      <c r="Z39" s="33" t="s">
        <v>35</v>
      </c>
      <c r="AA39" s="116" t="str">
        <f t="shared" si="3"/>
        <v/>
      </c>
      <c r="AB39" s="105" t="s">
        <v>243</v>
      </c>
      <c r="AC39" s="115">
        <f>Auszahlungen!AI38</f>
        <v>0</v>
      </c>
    </row>
    <row r="40" spans="1:29" x14ac:dyDescent="0.2">
      <c r="A40" s="120">
        <v>32</v>
      </c>
      <c r="B40" s="33" t="s">
        <v>36</v>
      </c>
      <c r="C40" s="116">
        <f t="shared" si="0"/>
        <v>32</v>
      </c>
      <c r="D40" s="105" t="s">
        <v>245</v>
      </c>
      <c r="E40" s="115">
        <f>Auszahlungen!H39</f>
        <v>479900</v>
      </c>
      <c r="G40" s="154"/>
      <c r="H40" s="130"/>
      <c r="I40" s="120">
        <v>32</v>
      </c>
      <c r="J40" s="33" t="s">
        <v>36</v>
      </c>
      <c r="K40" s="116">
        <f t="shared" si="1"/>
        <v>32</v>
      </c>
      <c r="L40" s="105" t="s">
        <v>245</v>
      </c>
      <c r="M40" s="115">
        <f>Auszahlungen!Q39</f>
        <v>479900</v>
      </c>
      <c r="P40" s="130"/>
      <c r="Q40" s="120">
        <v>32</v>
      </c>
      <c r="R40" s="33" t="s">
        <v>36</v>
      </c>
      <c r="S40" s="116">
        <f t="shared" si="2"/>
        <v>32</v>
      </c>
      <c r="T40" s="105" t="s">
        <v>245</v>
      </c>
      <c r="U40" s="115">
        <f>Auszahlungen!Z39</f>
        <v>479900</v>
      </c>
      <c r="X40" s="130"/>
      <c r="Y40" s="120">
        <v>32</v>
      </c>
      <c r="Z40" s="33" t="s">
        <v>36</v>
      </c>
      <c r="AA40" s="116">
        <f t="shared" si="3"/>
        <v>32</v>
      </c>
      <c r="AB40" s="105" t="s">
        <v>245</v>
      </c>
      <c r="AC40" s="115">
        <f>Auszahlungen!AI39</f>
        <v>480700</v>
      </c>
    </row>
    <row r="41" spans="1:29" x14ac:dyDescent="0.2">
      <c r="A41" s="120">
        <v>33</v>
      </c>
      <c r="B41" s="33" t="s">
        <v>37</v>
      </c>
      <c r="C41" s="116">
        <f t="shared" si="0"/>
        <v>33</v>
      </c>
      <c r="D41" s="163" t="s">
        <v>245</v>
      </c>
      <c r="E41" s="115">
        <f>Auszahlungen!H40</f>
        <v>1275700</v>
      </c>
      <c r="G41" s="154"/>
      <c r="H41" s="130"/>
      <c r="I41" s="120">
        <v>33</v>
      </c>
      <c r="J41" s="33" t="s">
        <v>37</v>
      </c>
      <c r="K41" s="116">
        <f t="shared" si="1"/>
        <v>33</v>
      </c>
      <c r="L41" s="163" t="s">
        <v>245</v>
      </c>
      <c r="M41" s="115">
        <f>Auszahlungen!Q40</f>
        <v>1275700</v>
      </c>
      <c r="P41" s="130"/>
      <c r="Q41" s="120">
        <v>33</v>
      </c>
      <c r="R41" s="33" t="s">
        <v>37</v>
      </c>
      <c r="S41" s="116">
        <f t="shared" si="2"/>
        <v>33</v>
      </c>
      <c r="T41" s="163" t="s">
        <v>245</v>
      </c>
      <c r="U41" s="115">
        <f>Auszahlungen!Z40</f>
        <v>1275700</v>
      </c>
      <c r="X41" s="130"/>
      <c r="Y41" s="120">
        <v>33</v>
      </c>
      <c r="Z41" s="33" t="s">
        <v>37</v>
      </c>
      <c r="AA41" s="116">
        <f t="shared" si="3"/>
        <v>33</v>
      </c>
      <c r="AB41" s="163" t="s">
        <v>245</v>
      </c>
      <c r="AC41" s="115">
        <f>Auszahlungen!AI40</f>
        <v>1277500</v>
      </c>
    </row>
    <row r="42" spans="1:29" x14ac:dyDescent="0.2">
      <c r="A42" s="120">
        <v>34</v>
      </c>
      <c r="B42" s="33" t="s">
        <v>38</v>
      </c>
      <c r="C42" s="116">
        <f t="shared" si="0"/>
        <v>34</v>
      </c>
      <c r="D42" s="105" t="s">
        <v>245</v>
      </c>
      <c r="E42" s="115">
        <f>Auszahlungen!H41</f>
        <v>407300</v>
      </c>
      <c r="G42" s="154"/>
      <c r="H42" s="130"/>
      <c r="I42" s="120">
        <v>34</v>
      </c>
      <c r="J42" s="33" t="s">
        <v>38</v>
      </c>
      <c r="K42" s="116">
        <f t="shared" si="1"/>
        <v>34</v>
      </c>
      <c r="L42" s="105" t="s">
        <v>245</v>
      </c>
      <c r="M42" s="115">
        <f>Auszahlungen!Q41</f>
        <v>407300</v>
      </c>
      <c r="P42" s="130"/>
      <c r="Q42" s="120">
        <v>34</v>
      </c>
      <c r="R42" s="33" t="s">
        <v>38</v>
      </c>
      <c r="S42" s="116">
        <f t="shared" si="2"/>
        <v>34</v>
      </c>
      <c r="T42" s="105" t="s">
        <v>245</v>
      </c>
      <c r="U42" s="115">
        <f>Auszahlungen!Z41</f>
        <v>407300</v>
      </c>
      <c r="X42" s="130"/>
      <c r="Y42" s="120">
        <v>34</v>
      </c>
      <c r="Z42" s="33" t="s">
        <v>38</v>
      </c>
      <c r="AA42" s="116">
        <f t="shared" si="3"/>
        <v>34</v>
      </c>
      <c r="AB42" s="105" t="s">
        <v>245</v>
      </c>
      <c r="AC42" s="115">
        <f>Auszahlungen!AI41</f>
        <v>407100</v>
      </c>
    </row>
    <row r="43" spans="1:29" x14ac:dyDescent="0.2">
      <c r="A43" s="120">
        <v>35</v>
      </c>
      <c r="B43" s="33" t="s">
        <v>39</v>
      </c>
      <c r="C43" s="116">
        <f t="shared" si="0"/>
        <v>35</v>
      </c>
      <c r="D43" s="105" t="s">
        <v>245</v>
      </c>
      <c r="E43" s="115">
        <f>Auszahlungen!H42</f>
        <v>933100</v>
      </c>
      <c r="G43" s="154"/>
      <c r="H43" s="130"/>
      <c r="I43" s="120">
        <v>35</v>
      </c>
      <c r="J43" s="33" t="s">
        <v>39</v>
      </c>
      <c r="K43" s="116">
        <f t="shared" si="1"/>
        <v>35</v>
      </c>
      <c r="L43" s="105" t="s">
        <v>245</v>
      </c>
      <c r="M43" s="115">
        <f>Auszahlungen!Q42</f>
        <v>933100</v>
      </c>
      <c r="P43" s="130"/>
      <c r="Q43" s="120">
        <v>35</v>
      </c>
      <c r="R43" s="33" t="s">
        <v>39</v>
      </c>
      <c r="S43" s="116">
        <f t="shared" si="2"/>
        <v>35</v>
      </c>
      <c r="T43" s="105" t="s">
        <v>245</v>
      </c>
      <c r="U43" s="115">
        <f>Auszahlungen!Z42</f>
        <v>933100</v>
      </c>
      <c r="X43" s="130"/>
      <c r="Y43" s="120">
        <v>35</v>
      </c>
      <c r="Z43" s="33" t="s">
        <v>39</v>
      </c>
      <c r="AA43" s="116">
        <f t="shared" si="3"/>
        <v>35</v>
      </c>
      <c r="AB43" s="105" t="s">
        <v>245</v>
      </c>
      <c r="AC43" s="115">
        <f>Auszahlungen!AI42</f>
        <v>934100</v>
      </c>
    </row>
    <row r="44" spans="1:29" x14ac:dyDescent="0.2">
      <c r="A44" s="120">
        <v>36</v>
      </c>
      <c r="B44" s="33" t="s">
        <v>40</v>
      </c>
      <c r="C44" s="116" t="str">
        <f t="shared" si="0"/>
        <v/>
      </c>
      <c r="D44" s="105" t="s">
        <v>245</v>
      </c>
      <c r="E44" s="115">
        <f>Auszahlungen!H43</f>
        <v>0</v>
      </c>
      <c r="G44" s="154"/>
      <c r="H44" s="130"/>
      <c r="I44" s="120">
        <v>36</v>
      </c>
      <c r="J44" s="33" t="s">
        <v>40</v>
      </c>
      <c r="K44" s="116" t="str">
        <f t="shared" si="1"/>
        <v/>
      </c>
      <c r="L44" s="105" t="s">
        <v>245</v>
      </c>
      <c r="M44" s="115">
        <f>Auszahlungen!Q43</f>
        <v>0</v>
      </c>
      <c r="P44" s="130"/>
      <c r="Q44" s="120">
        <v>36</v>
      </c>
      <c r="R44" s="33" t="s">
        <v>40</v>
      </c>
      <c r="S44" s="116" t="str">
        <f t="shared" si="2"/>
        <v/>
      </c>
      <c r="T44" s="105" t="s">
        <v>245</v>
      </c>
      <c r="U44" s="115">
        <f>Auszahlungen!Z43</f>
        <v>0</v>
      </c>
      <c r="X44" s="130"/>
      <c r="Y44" s="120">
        <v>36</v>
      </c>
      <c r="Z44" s="33" t="s">
        <v>40</v>
      </c>
      <c r="AA44" s="116" t="str">
        <f t="shared" si="3"/>
        <v/>
      </c>
      <c r="AB44" s="105" t="s">
        <v>245</v>
      </c>
      <c r="AC44" s="115">
        <f>Auszahlungen!AI43</f>
        <v>0</v>
      </c>
    </row>
    <row r="45" spans="1:29" x14ac:dyDescent="0.2">
      <c r="A45" s="120">
        <v>37</v>
      </c>
      <c r="B45" s="33" t="s">
        <v>41</v>
      </c>
      <c r="C45" s="116">
        <f t="shared" si="0"/>
        <v>37</v>
      </c>
      <c r="D45" s="163" t="s">
        <v>245</v>
      </c>
      <c r="E45" s="115">
        <f>Auszahlungen!H44</f>
        <v>986000</v>
      </c>
      <c r="G45" s="154"/>
      <c r="H45" s="130"/>
      <c r="I45" s="120">
        <v>37</v>
      </c>
      <c r="J45" s="33" t="s">
        <v>41</v>
      </c>
      <c r="K45" s="116">
        <f t="shared" si="1"/>
        <v>37</v>
      </c>
      <c r="L45" s="163" t="s">
        <v>245</v>
      </c>
      <c r="M45" s="115">
        <f>Auszahlungen!Q44</f>
        <v>986000</v>
      </c>
      <c r="P45" s="130"/>
      <c r="Q45" s="120">
        <v>37</v>
      </c>
      <c r="R45" s="33" t="s">
        <v>41</v>
      </c>
      <c r="S45" s="116">
        <f t="shared" si="2"/>
        <v>37</v>
      </c>
      <c r="T45" s="163" t="s">
        <v>245</v>
      </c>
      <c r="U45" s="115">
        <f>Auszahlungen!Z44</f>
        <v>986000</v>
      </c>
      <c r="X45" s="130"/>
      <c r="Y45" s="120">
        <v>37</v>
      </c>
      <c r="Z45" s="33" t="s">
        <v>41</v>
      </c>
      <c r="AA45" s="116">
        <f t="shared" si="3"/>
        <v>37</v>
      </c>
      <c r="AB45" s="163" t="s">
        <v>245</v>
      </c>
      <c r="AC45" s="115">
        <f>Auszahlungen!AI44</f>
        <v>986400</v>
      </c>
    </row>
    <row r="46" spans="1:29" x14ac:dyDescent="0.2">
      <c r="A46" s="120">
        <v>38</v>
      </c>
      <c r="B46" s="33" t="s">
        <v>42</v>
      </c>
      <c r="C46" s="116">
        <f t="shared" si="0"/>
        <v>38</v>
      </c>
      <c r="D46" s="163" t="s">
        <v>247</v>
      </c>
      <c r="E46" s="115">
        <f>Auszahlungen!H45</f>
        <v>2136200</v>
      </c>
      <c r="G46" s="154"/>
      <c r="H46" s="130"/>
      <c r="I46" s="120">
        <v>38</v>
      </c>
      <c r="J46" s="33" t="s">
        <v>42</v>
      </c>
      <c r="K46" s="116">
        <f t="shared" si="1"/>
        <v>38</v>
      </c>
      <c r="L46" s="163" t="s">
        <v>247</v>
      </c>
      <c r="M46" s="115">
        <f>Auszahlungen!Q45</f>
        <v>2136200</v>
      </c>
      <c r="P46" s="130"/>
      <c r="Q46" s="120">
        <v>38</v>
      </c>
      <c r="R46" s="33" t="s">
        <v>42</v>
      </c>
      <c r="S46" s="116">
        <f t="shared" si="2"/>
        <v>38</v>
      </c>
      <c r="T46" s="163" t="s">
        <v>247</v>
      </c>
      <c r="U46" s="115">
        <f>Auszahlungen!Z45</f>
        <v>2136200</v>
      </c>
      <c r="X46" s="130"/>
      <c r="Y46" s="120">
        <v>38</v>
      </c>
      <c r="Z46" s="33" t="s">
        <v>42</v>
      </c>
      <c r="AA46" s="116">
        <f t="shared" si="3"/>
        <v>38</v>
      </c>
      <c r="AB46" s="163" t="s">
        <v>247</v>
      </c>
      <c r="AC46" s="115">
        <f>Auszahlungen!AI45</f>
        <v>2139300</v>
      </c>
    </row>
    <row r="47" spans="1:29" x14ac:dyDescent="0.2">
      <c r="A47" s="120">
        <v>39</v>
      </c>
      <c r="B47" s="33" t="s">
        <v>43</v>
      </c>
      <c r="C47" s="116">
        <f t="shared" si="0"/>
        <v>39</v>
      </c>
      <c r="D47" s="105" t="s">
        <v>245</v>
      </c>
      <c r="E47" s="115">
        <f>Auszahlungen!H46</f>
        <v>783400</v>
      </c>
      <c r="G47" s="154"/>
      <c r="H47" s="130"/>
      <c r="I47" s="120">
        <v>39</v>
      </c>
      <c r="J47" s="33" t="s">
        <v>43</v>
      </c>
      <c r="K47" s="116">
        <f t="shared" si="1"/>
        <v>39</v>
      </c>
      <c r="L47" s="105" t="s">
        <v>245</v>
      </c>
      <c r="M47" s="115">
        <f>Auszahlungen!Q46</f>
        <v>783400</v>
      </c>
      <c r="P47" s="130"/>
      <c r="Q47" s="120">
        <v>39</v>
      </c>
      <c r="R47" s="33" t="s">
        <v>43</v>
      </c>
      <c r="S47" s="116">
        <f t="shared" si="2"/>
        <v>39</v>
      </c>
      <c r="T47" s="105" t="s">
        <v>245</v>
      </c>
      <c r="U47" s="115">
        <f>Auszahlungen!Z46</f>
        <v>783400</v>
      </c>
      <c r="X47" s="130"/>
      <c r="Y47" s="120">
        <v>39</v>
      </c>
      <c r="Z47" s="33" t="s">
        <v>43</v>
      </c>
      <c r="AA47" s="116">
        <f t="shared" si="3"/>
        <v>39</v>
      </c>
      <c r="AB47" s="105" t="s">
        <v>245</v>
      </c>
      <c r="AC47" s="115">
        <f>Auszahlungen!AI46</f>
        <v>783200</v>
      </c>
    </row>
    <row r="48" spans="1:29" x14ac:dyDescent="0.2">
      <c r="A48" s="120">
        <v>40</v>
      </c>
      <c r="B48" s="33" t="s">
        <v>44</v>
      </c>
      <c r="C48" s="116">
        <f t="shared" si="0"/>
        <v>40</v>
      </c>
      <c r="D48" s="105" t="s">
        <v>247</v>
      </c>
      <c r="E48" s="115">
        <f>Auszahlungen!H47</f>
        <v>755100</v>
      </c>
      <c r="G48" s="154"/>
      <c r="H48" s="130"/>
      <c r="I48" s="120">
        <v>40</v>
      </c>
      <c r="J48" s="33" t="s">
        <v>44</v>
      </c>
      <c r="K48" s="116">
        <f t="shared" si="1"/>
        <v>40</v>
      </c>
      <c r="L48" s="105" t="s">
        <v>247</v>
      </c>
      <c r="M48" s="115">
        <f>Auszahlungen!Q47</f>
        <v>755100</v>
      </c>
      <c r="P48" s="130"/>
      <c r="Q48" s="120">
        <v>40</v>
      </c>
      <c r="R48" s="33" t="s">
        <v>44</v>
      </c>
      <c r="S48" s="116">
        <f t="shared" si="2"/>
        <v>40</v>
      </c>
      <c r="T48" s="105" t="s">
        <v>247</v>
      </c>
      <c r="U48" s="115">
        <f>Auszahlungen!Z47</f>
        <v>755100</v>
      </c>
      <c r="X48" s="130"/>
      <c r="Y48" s="120">
        <v>40</v>
      </c>
      <c r="Z48" s="33" t="s">
        <v>44</v>
      </c>
      <c r="AA48" s="116">
        <f t="shared" si="3"/>
        <v>40</v>
      </c>
      <c r="AB48" s="105" t="s">
        <v>247</v>
      </c>
      <c r="AC48" s="115">
        <f>Auszahlungen!AI47</f>
        <v>756000</v>
      </c>
    </row>
    <row r="49" spans="1:29" x14ac:dyDescent="0.2">
      <c r="A49" s="120">
        <v>41</v>
      </c>
      <c r="B49" s="33" t="s">
        <v>45</v>
      </c>
      <c r="C49" s="116">
        <f t="shared" si="0"/>
        <v>41</v>
      </c>
      <c r="D49" s="163" t="s">
        <v>245</v>
      </c>
      <c r="E49" s="115">
        <f>Auszahlungen!H48</f>
        <v>353100</v>
      </c>
      <c r="G49" s="154"/>
      <c r="H49" s="130"/>
      <c r="I49" s="120">
        <v>41</v>
      </c>
      <c r="J49" s="33" t="s">
        <v>45</v>
      </c>
      <c r="K49" s="116">
        <f t="shared" si="1"/>
        <v>41</v>
      </c>
      <c r="L49" s="163" t="s">
        <v>245</v>
      </c>
      <c r="M49" s="115">
        <f>Auszahlungen!Q48</f>
        <v>353100</v>
      </c>
      <c r="P49" s="130"/>
      <c r="Q49" s="120">
        <v>41</v>
      </c>
      <c r="R49" s="33" t="s">
        <v>45</v>
      </c>
      <c r="S49" s="116">
        <f t="shared" si="2"/>
        <v>41</v>
      </c>
      <c r="T49" s="163" t="s">
        <v>245</v>
      </c>
      <c r="U49" s="115">
        <f>Auszahlungen!Z48</f>
        <v>353100</v>
      </c>
      <c r="X49" s="130"/>
      <c r="Y49" s="120">
        <v>41</v>
      </c>
      <c r="Z49" s="33" t="s">
        <v>45</v>
      </c>
      <c r="AA49" s="116">
        <f t="shared" si="3"/>
        <v>41</v>
      </c>
      <c r="AB49" s="163" t="s">
        <v>245</v>
      </c>
      <c r="AC49" s="115">
        <f>Auszahlungen!AI48</f>
        <v>352900</v>
      </c>
    </row>
    <row r="50" spans="1:29" x14ac:dyDescent="0.2">
      <c r="A50" s="120">
        <v>42</v>
      </c>
      <c r="B50" s="33" t="s">
        <v>46</v>
      </c>
      <c r="C50" s="116">
        <f t="shared" si="0"/>
        <v>42</v>
      </c>
      <c r="D50" s="163" t="s">
        <v>245</v>
      </c>
      <c r="E50" s="115">
        <f>Auszahlungen!H49</f>
        <v>188900</v>
      </c>
      <c r="G50" s="154"/>
      <c r="H50" s="130"/>
      <c r="I50" s="120">
        <v>42</v>
      </c>
      <c r="J50" s="33" t="s">
        <v>46</v>
      </c>
      <c r="K50" s="116">
        <f t="shared" si="1"/>
        <v>42</v>
      </c>
      <c r="L50" s="163" t="s">
        <v>245</v>
      </c>
      <c r="M50" s="115">
        <f>Auszahlungen!Q49</f>
        <v>188900</v>
      </c>
      <c r="P50" s="130"/>
      <c r="Q50" s="120">
        <v>42</v>
      </c>
      <c r="R50" s="33" t="s">
        <v>46</v>
      </c>
      <c r="S50" s="116">
        <f t="shared" si="2"/>
        <v>42</v>
      </c>
      <c r="T50" s="163" t="s">
        <v>245</v>
      </c>
      <c r="U50" s="115">
        <f>Auszahlungen!Z49</f>
        <v>188900</v>
      </c>
      <c r="X50" s="130"/>
      <c r="Y50" s="120">
        <v>42</v>
      </c>
      <c r="Z50" s="33" t="s">
        <v>46</v>
      </c>
      <c r="AA50" s="116">
        <f t="shared" si="3"/>
        <v>42</v>
      </c>
      <c r="AB50" s="163" t="s">
        <v>245</v>
      </c>
      <c r="AC50" s="115">
        <f>Auszahlungen!AI49</f>
        <v>188700</v>
      </c>
    </row>
    <row r="51" spans="1:29" x14ac:dyDescent="0.2">
      <c r="A51" s="120">
        <v>43</v>
      </c>
      <c r="B51" s="33" t="s">
        <v>47</v>
      </c>
      <c r="C51" s="116" t="str">
        <f t="shared" si="0"/>
        <v/>
      </c>
      <c r="D51" s="105" t="s">
        <v>244</v>
      </c>
      <c r="E51" s="115">
        <f>Auszahlungen!H50</f>
        <v>0</v>
      </c>
      <c r="G51" s="154"/>
      <c r="H51" s="130"/>
      <c r="I51" s="120">
        <v>43</v>
      </c>
      <c r="J51" s="33" t="s">
        <v>47</v>
      </c>
      <c r="K51" s="116" t="str">
        <f t="shared" si="1"/>
        <v/>
      </c>
      <c r="L51" s="105" t="s">
        <v>244</v>
      </c>
      <c r="M51" s="115">
        <f>Auszahlungen!Q50</f>
        <v>0</v>
      </c>
      <c r="P51" s="130"/>
      <c r="Q51" s="120">
        <v>43</v>
      </c>
      <c r="R51" s="33" t="s">
        <v>47</v>
      </c>
      <c r="S51" s="116" t="str">
        <f t="shared" si="2"/>
        <v/>
      </c>
      <c r="T51" s="105" t="s">
        <v>244</v>
      </c>
      <c r="U51" s="115">
        <f>Auszahlungen!Z50</f>
        <v>0</v>
      </c>
      <c r="X51" s="130"/>
      <c r="Y51" s="120">
        <v>43</v>
      </c>
      <c r="Z51" s="33" t="s">
        <v>47</v>
      </c>
      <c r="AA51" s="116" t="str">
        <f t="shared" si="3"/>
        <v/>
      </c>
      <c r="AB51" s="105" t="s">
        <v>244</v>
      </c>
      <c r="AC51" s="115">
        <f>Auszahlungen!AI50</f>
        <v>0</v>
      </c>
    </row>
    <row r="52" spans="1:29" x14ac:dyDescent="0.2">
      <c r="A52" s="120">
        <v>44</v>
      </c>
      <c r="B52" s="33" t="s">
        <v>48</v>
      </c>
      <c r="C52" s="116">
        <f t="shared" si="0"/>
        <v>44</v>
      </c>
      <c r="D52" s="163" t="s">
        <v>245</v>
      </c>
      <c r="E52" s="115">
        <f>Auszahlungen!H51</f>
        <v>885700</v>
      </c>
      <c r="G52" s="154"/>
      <c r="H52" s="130"/>
      <c r="I52" s="120">
        <v>44</v>
      </c>
      <c r="J52" s="33" t="s">
        <v>48</v>
      </c>
      <c r="K52" s="116">
        <f t="shared" si="1"/>
        <v>44</v>
      </c>
      <c r="L52" s="163" t="s">
        <v>245</v>
      </c>
      <c r="M52" s="115">
        <f>Auszahlungen!Q51</f>
        <v>885700</v>
      </c>
      <c r="P52" s="130"/>
      <c r="Q52" s="120">
        <v>44</v>
      </c>
      <c r="R52" s="33" t="s">
        <v>48</v>
      </c>
      <c r="S52" s="116">
        <f t="shared" si="2"/>
        <v>44</v>
      </c>
      <c r="T52" s="163" t="s">
        <v>245</v>
      </c>
      <c r="U52" s="115">
        <f>Auszahlungen!Z51</f>
        <v>885700</v>
      </c>
      <c r="X52" s="130"/>
      <c r="Y52" s="120">
        <v>44</v>
      </c>
      <c r="Z52" s="33" t="s">
        <v>48</v>
      </c>
      <c r="AA52" s="116">
        <f t="shared" si="3"/>
        <v>44</v>
      </c>
      <c r="AB52" s="163" t="s">
        <v>245</v>
      </c>
      <c r="AC52" s="115">
        <f>Auszahlungen!AI51</f>
        <v>886600</v>
      </c>
    </row>
    <row r="53" spans="1:29" x14ac:dyDescent="0.2">
      <c r="A53" s="120">
        <v>45</v>
      </c>
      <c r="B53" s="33" t="s">
        <v>49</v>
      </c>
      <c r="C53" s="116">
        <f t="shared" si="0"/>
        <v>45</v>
      </c>
      <c r="D53" s="163" t="s">
        <v>247</v>
      </c>
      <c r="E53" s="115">
        <f>Auszahlungen!H52</f>
        <v>758500</v>
      </c>
      <c r="G53" s="154"/>
      <c r="H53" s="130"/>
      <c r="I53" s="120">
        <v>45</v>
      </c>
      <c r="J53" s="33" t="s">
        <v>49</v>
      </c>
      <c r="K53" s="116">
        <f t="shared" si="1"/>
        <v>45</v>
      </c>
      <c r="L53" s="163" t="s">
        <v>247</v>
      </c>
      <c r="M53" s="115">
        <f>Auszahlungen!Q52</f>
        <v>758500</v>
      </c>
      <c r="P53" s="130"/>
      <c r="Q53" s="120">
        <v>45</v>
      </c>
      <c r="R53" s="33" t="s">
        <v>49</v>
      </c>
      <c r="S53" s="116">
        <f t="shared" si="2"/>
        <v>45</v>
      </c>
      <c r="T53" s="163" t="s">
        <v>247</v>
      </c>
      <c r="U53" s="115">
        <f>Auszahlungen!Z52</f>
        <v>758500</v>
      </c>
      <c r="X53" s="130"/>
      <c r="Y53" s="120">
        <v>45</v>
      </c>
      <c r="Z53" s="33" t="s">
        <v>49</v>
      </c>
      <c r="AA53" s="116">
        <f t="shared" si="3"/>
        <v>45</v>
      </c>
      <c r="AB53" s="163" t="s">
        <v>247</v>
      </c>
      <c r="AC53" s="115">
        <f>Auszahlungen!AI52</f>
        <v>760400</v>
      </c>
    </row>
    <row r="54" spans="1:29" x14ac:dyDescent="0.2">
      <c r="A54" s="120">
        <v>46</v>
      </c>
      <c r="B54" s="33" t="s">
        <v>50</v>
      </c>
      <c r="C54" s="116">
        <f t="shared" si="0"/>
        <v>46</v>
      </c>
      <c r="D54" s="163" t="s">
        <v>247</v>
      </c>
      <c r="E54" s="115">
        <f>Auszahlungen!H53</f>
        <v>929800</v>
      </c>
      <c r="G54" s="154"/>
      <c r="H54" s="130"/>
      <c r="I54" s="120">
        <v>46</v>
      </c>
      <c r="J54" s="33" t="s">
        <v>50</v>
      </c>
      <c r="K54" s="116">
        <f t="shared" si="1"/>
        <v>46</v>
      </c>
      <c r="L54" s="163" t="s">
        <v>247</v>
      </c>
      <c r="M54" s="115">
        <f>Auszahlungen!Q53</f>
        <v>929800</v>
      </c>
      <c r="P54" s="130"/>
      <c r="Q54" s="120">
        <v>46</v>
      </c>
      <c r="R54" s="33" t="s">
        <v>50</v>
      </c>
      <c r="S54" s="116">
        <f t="shared" si="2"/>
        <v>46</v>
      </c>
      <c r="T54" s="163" t="s">
        <v>247</v>
      </c>
      <c r="U54" s="115">
        <f>Auszahlungen!Z53</f>
        <v>929800</v>
      </c>
      <c r="X54" s="130"/>
      <c r="Y54" s="120">
        <v>46</v>
      </c>
      <c r="Z54" s="33" t="s">
        <v>50</v>
      </c>
      <c r="AA54" s="116">
        <f t="shared" si="3"/>
        <v>46</v>
      </c>
      <c r="AB54" s="163" t="s">
        <v>247</v>
      </c>
      <c r="AC54" s="115">
        <f>Auszahlungen!AI53</f>
        <v>930600</v>
      </c>
    </row>
    <row r="55" spans="1:29" x14ac:dyDescent="0.2">
      <c r="A55" s="120">
        <v>48</v>
      </c>
      <c r="B55" s="33" t="s">
        <v>51</v>
      </c>
      <c r="C55" s="116">
        <f t="shared" si="0"/>
        <v>48</v>
      </c>
      <c r="D55" s="163" t="s">
        <v>245</v>
      </c>
      <c r="E55" s="115">
        <f>Auszahlungen!H54</f>
        <v>38000</v>
      </c>
      <c r="G55" s="154"/>
      <c r="H55" s="130"/>
      <c r="I55" s="120">
        <v>48</v>
      </c>
      <c r="J55" s="33" t="s">
        <v>51</v>
      </c>
      <c r="K55" s="116">
        <f t="shared" si="1"/>
        <v>48</v>
      </c>
      <c r="L55" s="163" t="s">
        <v>245</v>
      </c>
      <c r="M55" s="115">
        <f>Auszahlungen!Q54</f>
        <v>38000</v>
      </c>
      <c r="P55" s="130"/>
      <c r="Q55" s="120">
        <v>48</v>
      </c>
      <c r="R55" s="33" t="s">
        <v>51</v>
      </c>
      <c r="S55" s="116">
        <f t="shared" si="2"/>
        <v>48</v>
      </c>
      <c r="T55" s="163" t="s">
        <v>245</v>
      </c>
      <c r="U55" s="115">
        <f>Auszahlungen!Z54</f>
        <v>38000</v>
      </c>
      <c r="X55" s="130"/>
      <c r="Y55" s="120">
        <v>48</v>
      </c>
      <c r="Z55" s="33" t="s">
        <v>51</v>
      </c>
      <c r="AA55" s="116">
        <f t="shared" si="3"/>
        <v>48</v>
      </c>
      <c r="AB55" s="163" t="s">
        <v>245</v>
      </c>
      <c r="AC55" s="115">
        <f>Auszahlungen!AI54</f>
        <v>37800</v>
      </c>
    </row>
    <row r="56" spans="1:29" x14ac:dyDescent="0.2">
      <c r="A56" s="120">
        <v>50</v>
      </c>
      <c r="B56" s="33" t="s">
        <v>52</v>
      </c>
      <c r="C56" s="116">
        <f t="shared" si="0"/>
        <v>50</v>
      </c>
      <c r="D56" s="105" t="s">
        <v>245</v>
      </c>
      <c r="E56" s="115">
        <f>Auszahlungen!H55</f>
        <v>709800</v>
      </c>
      <c r="G56" s="154"/>
      <c r="H56" s="130"/>
      <c r="I56" s="120">
        <v>50</v>
      </c>
      <c r="J56" s="33" t="s">
        <v>52</v>
      </c>
      <c r="K56" s="116">
        <f t="shared" si="1"/>
        <v>50</v>
      </c>
      <c r="L56" s="105" t="s">
        <v>245</v>
      </c>
      <c r="M56" s="115">
        <f>Auszahlungen!Q55</f>
        <v>709800</v>
      </c>
      <c r="P56" s="130"/>
      <c r="Q56" s="120">
        <v>50</v>
      </c>
      <c r="R56" s="33" t="s">
        <v>52</v>
      </c>
      <c r="S56" s="116">
        <f t="shared" si="2"/>
        <v>50</v>
      </c>
      <c r="T56" s="105" t="s">
        <v>245</v>
      </c>
      <c r="U56" s="115">
        <f>Auszahlungen!Z55</f>
        <v>709800</v>
      </c>
      <c r="X56" s="130"/>
      <c r="Y56" s="120">
        <v>50</v>
      </c>
      <c r="Z56" s="33" t="s">
        <v>52</v>
      </c>
      <c r="AA56" s="116">
        <f t="shared" si="3"/>
        <v>50</v>
      </c>
      <c r="AB56" s="105" t="s">
        <v>245</v>
      </c>
      <c r="AC56" s="115">
        <f>Auszahlungen!AI55</f>
        <v>712400</v>
      </c>
    </row>
    <row r="57" spans="1:29" x14ac:dyDescent="0.2">
      <c r="A57" s="120">
        <v>51</v>
      </c>
      <c r="B57" s="33" t="s">
        <v>53</v>
      </c>
      <c r="C57" s="116">
        <f t="shared" si="0"/>
        <v>51</v>
      </c>
      <c r="D57" s="163" t="s">
        <v>245</v>
      </c>
      <c r="E57" s="115">
        <f>Auszahlungen!H56</f>
        <v>5400</v>
      </c>
      <c r="G57" s="154"/>
      <c r="H57" s="130"/>
      <c r="I57" s="120">
        <v>51</v>
      </c>
      <c r="J57" s="33" t="s">
        <v>53</v>
      </c>
      <c r="K57" s="116">
        <f t="shared" si="1"/>
        <v>51</v>
      </c>
      <c r="L57" s="163" t="s">
        <v>245</v>
      </c>
      <c r="M57" s="115">
        <f>Auszahlungen!Q56</f>
        <v>5400</v>
      </c>
      <c r="P57" s="130"/>
      <c r="Q57" s="120">
        <v>51</v>
      </c>
      <c r="R57" s="33" t="s">
        <v>53</v>
      </c>
      <c r="S57" s="116">
        <f t="shared" si="2"/>
        <v>51</v>
      </c>
      <c r="T57" s="163" t="s">
        <v>245</v>
      </c>
      <c r="U57" s="115">
        <f>Auszahlungen!Z56</f>
        <v>5400</v>
      </c>
      <c r="X57" s="130"/>
      <c r="Y57" s="120">
        <v>51</v>
      </c>
      <c r="Z57" s="33" t="s">
        <v>53</v>
      </c>
      <c r="AA57" s="116">
        <f t="shared" si="3"/>
        <v>51</v>
      </c>
      <c r="AB57" s="163" t="s">
        <v>245</v>
      </c>
      <c r="AC57" s="115">
        <f>Auszahlungen!AI56</f>
        <v>5200</v>
      </c>
    </row>
    <row r="58" spans="1:29" x14ac:dyDescent="0.2">
      <c r="A58" s="120">
        <v>52</v>
      </c>
      <c r="B58" s="33" t="s">
        <v>54</v>
      </c>
      <c r="C58" s="116">
        <f t="shared" si="0"/>
        <v>52</v>
      </c>
      <c r="D58" s="163" t="s">
        <v>245</v>
      </c>
      <c r="E58" s="115">
        <f>Auszahlungen!H57</f>
        <v>74800</v>
      </c>
      <c r="G58" s="154"/>
      <c r="H58" s="130"/>
      <c r="I58" s="120">
        <v>52</v>
      </c>
      <c r="J58" s="33" t="s">
        <v>54</v>
      </c>
      <c r="K58" s="116">
        <f t="shared" si="1"/>
        <v>52</v>
      </c>
      <c r="L58" s="163" t="s">
        <v>245</v>
      </c>
      <c r="M58" s="115">
        <f>Auszahlungen!Q57</f>
        <v>74800</v>
      </c>
      <c r="P58" s="130"/>
      <c r="Q58" s="120">
        <v>52</v>
      </c>
      <c r="R58" s="33" t="s">
        <v>54</v>
      </c>
      <c r="S58" s="116">
        <f t="shared" si="2"/>
        <v>52</v>
      </c>
      <c r="T58" s="163" t="s">
        <v>245</v>
      </c>
      <c r="U58" s="115">
        <f>Auszahlungen!Z57</f>
        <v>74800</v>
      </c>
      <c r="X58" s="130"/>
      <c r="Y58" s="120">
        <v>52</v>
      </c>
      <c r="Z58" s="33" t="s">
        <v>54</v>
      </c>
      <c r="AA58" s="116">
        <f t="shared" si="3"/>
        <v>52</v>
      </c>
      <c r="AB58" s="163" t="s">
        <v>245</v>
      </c>
      <c r="AC58" s="115">
        <f>Auszahlungen!AI57</f>
        <v>75800</v>
      </c>
    </row>
    <row r="59" spans="1:29" x14ac:dyDescent="0.2">
      <c r="A59" s="120">
        <v>54</v>
      </c>
      <c r="B59" s="33" t="s">
        <v>55</v>
      </c>
      <c r="C59" s="116">
        <f t="shared" si="0"/>
        <v>54</v>
      </c>
      <c r="D59" s="163" t="s">
        <v>245</v>
      </c>
      <c r="E59" s="115">
        <f>Auszahlungen!H58</f>
        <v>1333100</v>
      </c>
      <c r="G59" s="154"/>
      <c r="H59" s="130"/>
      <c r="I59" s="120">
        <v>54</v>
      </c>
      <c r="J59" s="33" t="s">
        <v>55</v>
      </c>
      <c r="K59" s="116">
        <f t="shared" si="1"/>
        <v>54</v>
      </c>
      <c r="L59" s="163" t="s">
        <v>245</v>
      </c>
      <c r="M59" s="115">
        <f>Auszahlungen!Q58</f>
        <v>1333100</v>
      </c>
      <c r="P59" s="130"/>
      <c r="Q59" s="120">
        <v>54</v>
      </c>
      <c r="R59" s="33" t="s">
        <v>55</v>
      </c>
      <c r="S59" s="116">
        <f t="shared" si="2"/>
        <v>54</v>
      </c>
      <c r="T59" s="163" t="s">
        <v>245</v>
      </c>
      <c r="U59" s="115">
        <f>Auszahlungen!Z58</f>
        <v>1333100</v>
      </c>
      <c r="X59" s="130"/>
      <c r="Y59" s="120">
        <v>54</v>
      </c>
      <c r="Z59" s="33" t="s">
        <v>55</v>
      </c>
      <c r="AA59" s="116">
        <f t="shared" si="3"/>
        <v>54</v>
      </c>
      <c r="AB59" s="163" t="s">
        <v>245</v>
      </c>
      <c r="AC59" s="115">
        <f>Auszahlungen!AI58</f>
        <v>1335400</v>
      </c>
    </row>
    <row r="60" spans="1:29" x14ac:dyDescent="0.2">
      <c r="A60" s="120">
        <v>57</v>
      </c>
      <c r="B60" s="33" t="s">
        <v>56</v>
      </c>
      <c r="C60" s="116">
        <f t="shared" si="0"/>
        <v>57</v>
      </c>
      <c r="D60" s="163" t="s">
        <v>247</v>
      </c>
      <c r="E60" s="115">
        <f>Auszahlungen!H59</f>
        <v>771000</v>
      </c>
      <c r="G60" s="154"/>
      <c r="H60" s="130"/>
      <c r="I60" s="120">
        <v>57</v>
      </c>
      <c r="J60" s="33" t="s">
        <v>56</v>
      </c>
      <c r="K60" s="116">
        <f t="shared" si="1"/>
        <v>57</v>
      </c>
      <c r="L60" s="163" t="s">
        <v>247</v>
      </c>
      <c r="M60" s="115">
        <f>Auszahlungen!Q59</f>
        <v>771000</v>
      </c>
      <c r="P60" s="130"/>
      <c r="Q60" s="120">
        <v>57</v>
      </c>
      <c r="R60" s="33" t="s">
        <v>56</v>
      </c>
      <c r="S60" s="116">
        <f t="shared" si="2"/>
        <v>57</v>
      </c>
      <c r="T60" s="163" t="s">
        <v>247</v>
      </c>
      <c r="U60" s="115">
        <f>Auszahlungen!Z59</f>
        <v>771000</v>
      </c>
      <c r="X60" s="130"/>
      <c r="Y60" s="120">
        <v>57</v>
      </c>
      <c r="Z60" s="33" t="s">
        <v>56</v>
      </c>
      <c r="AA60" s="116">
        <f t="shared" si="3"/>
        <v>57</v>
      </c>
      <c r="AB60" s="163" t="s">
        <v>247</v>
      </c>
      <c r="AC60" s="115">
        <f>Auszahlungen!AI59</f>
        <v>771400</v>
      </c>
    </row>
    <row r="61" spans="1:29" x14ac:dyDescent="0.2">
      <c r="A61" s="120">
        <v>60</v>
      </c>
      <c r="B61" s="33" t="s">
        <v>57</v>
      </c>
      <c r="C61" s="116">
        <f t="shared" si="0"/>
        <v>60</v>
      </c>
      <c r="D61" s="163" t="s">
        <v>246</v>
      </c>
      <c r="E61" s="115">
        <f>Auszahlungen!H60</f>
        <v>1394400</v>
      </c>
      <c r="G61" s="154"/>
      <c r="H61" s="130"/>
      <c r="I61" s="120">
        <v>60</v>
      </c>
      <c r="J61" s="33" t="s">
        <v>57</v>
      </c>
      <c r="K61" s="116">
        <f t="shared" si="1"/>
        <v>60</v>
      </c>
      <c r="L61" s="163" t="s">
        <v>246</v>
      </c>
      <c r="M61" s="115">
        <f>Auszahlungen!Q60</f>
        <v>1394400</v>
      </c>
      <c r="P61" s="130"/>
      <c r="Q61" s="120">
        <v>60</v>
      </c>
      <c r="R61" s="33" t="s">
        <v>57</v>
      </c>
      <c r="S61" s="116">
        <f t="shared" si="2"/>
        <v>60</v>
      </c>
      <c r="T61" s="163" t="s">
        <v>246</v>
      </c>
      <c r="U61" s="115">
        <f>Auszahlungen!Z60</f>
        <v>1394400</v>
      </c>
      <c r="X61" s="130"/>
      <c r="Y61" s="120">
        <v>60</v>
      </c>
      <c r="Z61" s="33" t="s">
        <v>57</v>
      </c>
      <c r="AA61" s="116">
        <f t="shared" si="3"/>
        <v>60</v>
      </c>
      <c r="AB61" s="163" t="s">
        <v>246</v>
      </c>
      <c r="AC61" s="115">
        <f>Auszahlungen!AI60</f>
        <v>1394400</v>
      </c>
    </row>
    <row r="62" spans="1:29" x14ac:dyDescent="0.2">
      <c r="A62" s="120">
        <v>62</v>
      </c>
      <c r="B62" s="33" t="s">
        <v>58</v>
      </c>
      <c r="C62" s="116">
        <f t="shared" si="0"/>
        <v>62</v>
      </c>
      <c r="D62" s="105" t="s">
        <v>245</v>
      </c>
      <c r="E62" s="115">
        <f>Auszahlungen!H61</f>
        <v>1525800</v>
      </c>
      <c r="G62" s="154"/>
      <c r="H62" s="130"/>
      <c r="I62" s="120">
        <v>62</v>
      </c>
      <c r="J62" s="33" t="s">
        <v>58</v>
      </c>
      <c r="K62" s="116">
        <f t="shared" si="1"/>
        <v>62</v>
      </c>
      <c r="L62" s="105" t="s">
        <v>245</v>
      </c>
      <c r="M62" s="115">
        <f>Auszahlungen!Q61</f>
        <v>1525800</v>
      </c>
      <c r="P62" s="130"/>
      <c r="Q62" s="120">
        <v>62</v>
      </c>
      <c r="R62" s="33" t="s">
        <v>58</v>
      </c>
      <c r="S62" s="116">
        <f t="shared" si="2"/>
        <v>62</v>
      </c>
      <c r="T62" s="105" t="s">
        <v>245</v>
      </c>
      <c r="U62" s="115">
        <f>Auszahlungen!Z61</f>
        <v>1525800</v>
      </c>
      <c r="X62" s="130"/>
      <c r="Y62" s="120">
        <v>62</v>
      </c>
      <c r="Z62" s="33" t="s">
        <v>58</v>
      </c>
      <c r="AA62" s="116">
        <f t="shared" si="3"/>
        <v>62</v>
      </c>
      <c r="AB62" s="105" t="s">
        <v>245</v>
      </c>
      <c r="AC62" s="115">
        <f>Auszahlungen!AI61</f>
        <v>1526500</v>
      </c>
    </row>
    <row r="63" spans="1:29" x14ac:dyDescent="0.2">
      <c r="A63" s="120">
        <v>63</v>
      </c>
      <c r="B63" s="33" t="s">
        <v>59</v>
      </c>
      <c r="C63" s="116">
        <f t="shared" si="0"/>
        <v>63</v>
      </c>
      <c r="D63" s="105" t="s">
        <v>245</v>
      </c>
      <c r="E63" s="115">
        <f>Auszahlungen!H62</f>
        <v>2163300</v>
      </c>
      <c r="G63" s="154"/>
      <c r="H63" s="130"/>
      <c r="I63" s="120">
        <v>63</v>
      </c>
      <c r="J63" s="33" t="s">
        <v>59</v>
      </c>
      <c r="K63" s="116">
        <f t="shared" si="1"/>
        <v>63</v>
      </c>
      <c r="L63" s="105" t="s">
        <v>245</v>
      </c>
      <c r="M63" s="115">
        <f>Auszahlungen!Q62</f>
        <v>2163300</v>
      </c>
      <c r="P63" s="130"/>
      <c r="Q63" s="120">
        <v>63</v>
      </c>
      <c r="R63" s="33" t="s">
        <v>59</v>
      </c>
      <c r="S63" s="116">
        <f t="shared" si="2"/>
        <v>63</v>
      </c>
      <c r="T63" s="105" t="s">
        <v>245</v>
      </c>
      <c r="U63" s="115">
        <f>Auszahlungen!Z62</f>
        <v>2163300</v>
      </c>
      <c r="X63" s="130"/>
      <c r="Y63" s="120">
        <v>63</v>
      </c>
      <c r="Z63" s="33" t="s">
        <v>59</v>
      </c>
      <c r="AA63" s="116">
        <f t="shared" si="3"/>
        <v>63</v>
      </c>
      <c r="AB63" s="105" t="s">
        <v>245</v>
      </c>
      <c r="AC63" s="115">
        <f>Auszahlungen!AI62</f>
        <v>2163900</v>
      </c>
    </row>
    <row r="64" spans="1:29" x14ac:dyDescent="0.2">
      <c r="A64" s="120">
        <v>64</v>
      </c>
      <c r="B64" s="33" t="s">
        <v>60</v>
      </c>
      <c r="C64" s="116">
        <f t="shared" si="0"/>
        <v>64</v>
      </c>
      <c r="D64" s="163" t="s">
        <v>245</v>
      </c>
      <c r="E64" s="115">
        <f>Auszahlungen!H63</f>
        <v>343400</v>
      </c>
      <c r="G64" s="154"/>
      <c r="H64" s="130"/>
      <c r="I64" s="120">
        <v>64</v>
      </c>
      <c r="J64" s="33" t="s">
        <v>60</v>
      </c>
      <c r="K64" s="116">
        <f t="shared" si="1"/>
        <v>64</v>
      </c>
      <c r="L64" s="163" t="s">
        <v>245</v>
      </c>
      <c r="M64" s="115">
        <f>Auszahlungen!Q63</f>
        <v>343400</v>
      </c>
      <c r="P64" s="130"/>
      <c r="Q64" s="120">
        <v>64</v>
      </c>
      <c r="R64" s="33" t="s">
        <v>60</v>
      </c>
      <c r="S64" s="116">
        <f t="shared" si="2"/>
        <v>64</v>
      </c>
      <c r="T64" s="163" t="s">
        <v>245</v>
      </c>
      <c r="U64" s="115">
        <f>Auszahlungen!Z63</f>
        <v>343400</v>
      </c>
      <c r="X64" s="130"/>
      <c r="Y64" s="120">
        <v>64</v>
      </c>
      <c r="Z64" s="33" t="s">
        <v>60</v>
      </c>
      <c r="AA64" s="116">
        <f t="shared" si="3"/>
        <v>64</v>
      </c>
      <c r="AB64" s="163" t="s">
        <v>245</v>
      </c>
      <c r="AC64" s="115">
        <f>Auszahlungen!AI63</f>
        <v>343200</v>
      </c>
    </row>
    <row r="65" spans="1:29" x14ac:dyDescent="0.2">
      <c r="A65" s="120">
        <v>65</v>
      </c>
      <c r="B65" s="33" t="s">
        <v>61</v>
      </c>
      <c r="C65" s="116">
        <f t="shared" si="0"/>
        <v>65</v>
      </c>
      <c r="D65" s="105" t="s">
        <v>247</v>
      </c>
      <c r="E65" s="115">
        <f>Auszahlungen!H64</f>
        <v>610600</v>
      </c>
      <c r="G65" s="154"/>
      <c r="H65" s="130"/>
      <c r="I65" s="120">
        <v>65</v>
      </c>
      <c r="J65" s="33" t="s">
        <v>61</v>
      </c>
      <c r="K65" s="116">
        <f t="shared" si="1"/>
        <v>65</v>
      </c>
      <c r="L65" s="105" t="s">
        <v>247</v>
      </c>
      <c r="M65" s="115">
        <f>Auszahlungen!Q64</f>
        <v>610600</v>
      </c>
      <c r="P65" s="130"/>
      <c r="Q65" s="120">
        <v>65</v>
      </c>
      <c r="R65" s="33" t="s">
        <v>61</v>
      </c>
      <c r="S65" s="116">
        <f t="shared" si="2"/>
        <v>65</v>
      </c>
      <c r="T65" s="105" t="s">
        <v>247</v>
      </c>
      <c r="U65" s="115">
        <f>Auszahlungen!Z64</f>
        <v>610600</v>
      </c>
      <c r="X65" s="130"/>
      <c r="Y65" s="120">
        <v>65</v>
      </c>
      <c r="Z65" s="33" t="s">
        <v>61</v>
      </c>
      <c r="AA65" s="116">
        <f t="shared" si="3"/>
        <v>65</v>
      </c>
      <c r="AB65" s="105" t="s">
        <v>247</v>
      </c>
      <c r="AC65" s="115">
        <f>Auszahlungen!AI64</f>
        <v>611100</v>
      </c>
    </row>
    <row r="66" spans="1:29" x14ac:dyDescent="0.2">
      <c r="A66" s="120">
        <v>66</v>
      </c>
      <c r="B66" s="33" t="s">
        <v>62</v>
      </c>
      <c r="C66" s="116">
        <f t="shared" si="0"/>
        <v>66</v>
      </c>
      <c r="D66" s="163" t="s">
        <v>247</v>
      </c>
      <c r="E66" s="115">
        <f>Auszahlungen!H65</f>
        <v>2156100</v>
      </c>
      <c r="G66" s="154"/>
      <c r="H66" s="130"/>
      <c r="I66" s="120">
        <v>66</v>
      </c>
      <c r="J66" s="33" t="s">
        <v>62</v>
      </c>
      <c r="K66" s="116">
        <f t="shared" si="1"/>
        <v>66</v>
      </c>
      <c r="L66" s="163" t="s">
        <v>247</v>
      </c>
      <c r="M66" s="115">
        <f>Auszahlungen!Q65</f>
        <v>2156100</v>
      </c>
      <c r="P66" s="130"/>
      <c r="Q66" s="120">
        <v>66</v>
      </c>
      <c r="R66" s="33" t="s">
        <v>62</v>
      </c>
      <c r="S66" s="116">
        <f t="shared" si="2"/>
        <v>66</v>
      </c>
      <c r="T66" s="163" t="s">
        <v>247</v>
      </c>
      <c r="U66" s="115">
        <f>Auszahlungen!Z65</f>
        <v>2156100</v>
      </c>
      <c r="X66" s="130"/>
      <c r="Y66" s="120">
        <v>66</v>
      </c>
      <c r="Z66" s="33" t="s">
        <v>62</v>
      </c>
      <c r="AA66" s="116">
        <f t="shared" si="3"/>
        <v>66</v>
      </c>
      <c r="AB66" s="163" t="s">
        <v>247</v>
      </c>
      <c r="AC66" s="115">
        <f>Auszahlungen!AI65</f>
        <v>2157200</v>
      </c>
    </row>
    <row r="67" spans="1:29" x14ac:dyDescent="0.2">
      <c r="A67" s="120">
        <v>67</v>
      </c>
      <c r="B67" s="33" t="s">
        <v>63</v>
      </c>
      <c r="C67" s="116">
        <f t="shared" si="0"/>
        <v>67</v>
      </c>
      <c r="D67" s="163" t="s">
        <v>247</v>
      </c>
      <c r="E67" s="115">
        <f>Auszahlungen!H66</f>
        <v>773600</v>
      </c>
      <c r="G67" s="154"/>
      <c r="H67" s="130"/>
      <c r="I67" s="120">
        <v>67</v>
      </c>
      <c r="J67" s="33" t="s">
        <v>63</v>
      </c>
      <c r="K67" s="116">
        <f t="shared" si="1"/>
        <v>67</v>
      </c>
      <c r="L67" s="163" t="s">
        <v>247</v>
      </c>
      <c r="M67" s="115">
        <f>Auszahlungen!Q66</f>
        <v>773600</v>
      </c>
      <c r="P67" s="130"/>
      <c r="Q67" s="120">
        <v>67</v>
      </c>
      <c r="R67" s="33" t="s">
        <v>63</v>
      </c>
      <c r="S67" s="116">
        <f t="shared" si="2"/>
        <v>67</v>
      </c>
      <c r="T67" s="163" t="s">
        <v>247</v>
      </c>
      <c r="U67" s="115">
        <f>Auszahlungen!Z66</f>
        <v>773600</v>
      </c>
      <c r="X67" s="130"/>
      <c r="Y67" s="120">
        <v>67</v>
      </c>
      <c r="Z67" s="33" t="s">
        <v>63</v>
      </c>
      <c r="AA67" s="116">
        <f t="shared" si="3"/>
        <v>67</v>
      </c>
      <c r="AB67" s="163" t="s">
        <v>247</v>
      </c>
      <c r="AC67" s="115">
        <f>Auszahlungen!AI66</f>
        <v>774600</v>
      </c>
    </row>
    <row r="68" spans="1:29" x14ac:dyDescent="0.2">
      <c r="A68" s="120">
        <v>70</v>
      </c>
      <c r="B68" s="33" t="s">
        <v>64</v>
      </c>
      <c r="C68" s="116">
        <f t="shared" si="0"/>
        <v>70</v>
      </c>
      <c r="D68" s="163" t="s">
        <v>247</v>
      </c>
      <c r="E68" s="115">
        <f>Auszahlungen!H67</f>
        <v>1319500</v>
      </c>
      <c r="G68" s="154"/>
      <c r="H68" s="130"/>
      <c r="I68" s="120">
        <v>70</v>
      </c>
      <c r="J68" s="33" t="s">
        <v>64</v>
      </c>
      <c r="K68" s="116">
        <f t="shared" si="1"/>
        <v>70</v>
      </c>
      <c r="L68" s="163" t="s">
        <v>247</v>
      </c>
      <c r="M68" s="115">
        <f>Auszahlungen!Q67</f>
        <v>1319500</v>
      </c>
      <c r="P68" s="130"/>
      <c r="Q68" s="120">
        <v>70</v>
      </c>
      <c r="R68" s="33" t="s">
        <v>64</v>
      </c>
      <c r="S68" s="116">
        <f t="shared" si="2"/>
        <v>70</v>
      </c>
      <c r="T68" s="163" t="s">
        <v>247</v>
      </c>
      <c r="U68" s="115">
        <f>Auszahlungen!Z67</f>
        <v>1319500</v>
      </c>
      <c r="X68" s="130"/>
      <c r="Y68" s="120">
        <v>70</v>
      </c>
      <c r="Z68" s="33" t="s">
        <v>64</v>
      </c>
      <c r="AA68" s="116">
        <f t="shared" si="3"/>
        <v>70</v>
      </c>
      <c r="AB68" s="163" t="s">
        <v>247</v>
      </c>
      <c r="AC68" s="115">
        <f>Auszahlungen!AI67</f>
        <v>1321200</v>
      </c>
    </row>
    <row r="69" spans="1:29" x14ac:dyDescent="0.2">
      <c r="A69" s="120">
        <v>71</v>
      </c>
      <c r="B69" s="33" t="s">
        <v>65</v>
      </c>
      <c r="C69" s="116">
        <f t="shared" si="0"/>
        <v>71</v>
      </c>
      <c r="D69" s="105" t="s">
        <v>247</v>
      </c>
      <c r="E69" s="115">
        <f>Auszahlungen!H68</f>
        <v>696400</v>
      </c>
      <c r="G69" s="154"/>
      <c r="H69" s="130"/>
      <c r="I69" s="120">
        <v>71</v>
      </c>
      <c r="J69" s="33" t="s">
        <v>65</v>
      </c>
      <c r="K69" s="116">
        <f t="shared" si="1"/>
        <v>71</v>
      </c>
      <c r="L69" s="105" t="s">
        <v>247</v>
      </c>
      <c r="M69" s="115">
        <f>Auszahlungen!Q68</f>
        <v>696400</v>
      </c>
      <c r="P69" s="130"/>
      <c r="Q69" s="120">
        <v>71</v>
      </c>
      <c r="R69" s="33" t="s">
        <v>65</v>
      </c>
      <c r="S69" s="116">
        <f t="shared" si="2"/>
        <v>71</v>
      </c>
      <c r="T69" s="105" t="s">
        <v>247</v>
      </c>
      <c r="U69" s="115">
        <f>Auszahlungen!Z68</f>
        <v>696400</v>
      </c>
      <c r="X69" s="130"/>
      <c r="Y69" s="120">
        <v>71</v>
      </c>
      <c r="Z69" s="33" t="s">
        <v>65</v>
      </c>
      <c r="AA69" s="116">
        <f t="shared" si="3"/>
        <v>71</v>
      </c>
      <c r="AB69" s="105" t="s">
        <v>247</v>
      </c>
      <c r="AC69" s="115">
        <f>Auszahlungen!AI68</f>
        <v>697200</v>
      </c>
    </row>
    <row r="70" spans="1:29" x14ac:dyDescent="0.2">
      <c r="A70" s="120">
        <v>72</v>
      </c>
      <c r="B70" s="33" t="s">
        <v>66</v>
      </c>
      <c r="C70" s="116">
        <f t="shared" si="0"/>
        <v>72</v>
      </c>
      <c r="D70" s="105" t="s">
        <v>245</v>
      </c>
      <c r="E70" s="115">
        <f>Auszahlungen!H69</f>
        <v>1718200</v>
      </c>
      <c r="G70" s="154"/>
      <c r="H70" s="130"/>
      <c r="I70" s="120">
        <v>72</v>
      </c>
      <c r="J70" s="33" t="s">
        <v>66</v>
      </c>
      <c r="K70" s="116">
        <f t="shared" si="1"/>
        <v>72</v>
      </c>
      <c r="L70" s="105" t="s">
        <v>245</v>
      </c>
      <c r="M70" s="115">
        <f>Auszahlungen!Q69</f>
        <v>1718200</v>
      </c>
      <c r="P70" s="130"/>
      <c r="Q70" s="120">
        <v>72</v>
      </c>
      <c r="R70" s="33" t="s">
        <v>66</v>
      </c>
      <c r="S70" s="116">
        <f t="shared" si="2"/>
        <v>72</v>
      </c>
      <c r="T70" s="105" t="s">
        <v>245</v>
      </c>
      <c r="U70" s="115">
        <f>Auszahlungen!Z69</f>
        <v>1718200</v>
      </c>
      <c r="X70" s="130"/>
      <c r="Y70" s="120">
        <v>72</v>
      </c>
      <c r="Z70" s="33" t="s">
        <v>66</v>
      </c>
      <c r="AA70" s="116">
        <f t="shared" si="3"/>
        <v>72</v>
      </c>
      <c r="AB70" s="105" t="s">
        <v>245</v>
      </c>
      <c r="AC70" s="115">
        <f>Auszahlungen!AI69</f>
        <v>1720700</v>
      </c>
    </row>
    <row r="71" spans="1:29" x14ac:dyDescent="0.2">
      <c r="A71" s="120">
        <v>73</v>
      </c>
      <c r="B71" s="33" t="s">
        <v>67</v>
      </c>
      <c r="C71" s="116">
        <f t="shared" si="0"/>
        <v>73</v>
      </c>
      <c r="D71" s="163" t="s">
        <v>247</v>
      </c>
      <c r="E71" s="115">
        <f>Auszahlungen!H70</f>
        <v>2599700</v>
      </c>
      <c r="G71" s="154"/>
      <c r="H71" s="130"/>
      <c r="I71" s="120">
        <v>73</v>
      </c>
      <c r="J71" s="33" t="s">
        <v>67</v>
      </c>
      <c r="K71" s="116">
        <f t="shared" si="1"/>
        <v>73</v>
      </c>
      <c r="L71" s="163" t="s">
        <v>247</v>
      </c>
      <c r="M71" s="115">
        <f>Auszahlungen!Q70</f>
        <v>2599700</v>
      </c>
      <c r="P71" s="130"/>
      <c r="Q71" s="120">
        <v>73</v>
      </c>
      <c r="R71" s="33" t="s">
        <v>67</v>
      </c>
      <c r="S71" s="116">
        <f t="shared" si="2"/>
        <v>73</v>
      </c>
      <c r="T71" s="163" t="s">
        <v>247</v>
      </c>
      <c r="U71" s="115">
        <f>Auszahlungen!Z70</f>
        <v>2599700</v>
      </c>
      <c r="X71" s="130"/>
      <c r="Y71" s="120">
        <v>73</v>
      </c>
      <c r="Z71" s="33" t="s">
        <v>67</v>
      </c>
      <c r="AA71" s="116">
        <f t="shared" si="3"/>
        <v>73</v>
      </c>
      <c r="AB71" s="163" t="s">
        <v>247</v>
      </c>
      <c r="AC71" s="115">
        <f>Auszahlungen!AI70</f>
        <v>2606600</v>
      </c>
    </row>
    <row r="72" spans="1:29" x14ac:dyDescent="0.2">
      <c r="A72" s="120">
        <v>76</v>
      </c>
      <c r="B72" s="33" t="s">
        <v>68</v>
      </c>
      <c r="C72" s="116">
        <f t="shared" si="0"/>
        <v>76</v>
      </c>
      <c r="D72" s="163" t="s">
        <v>245</v>
      </c>
      <c r="E72" s="115">
        <f>Auszahlungen!H71</f>
        <v>677200</v>
      </c>
      <c r="G72" s="154"/>
      <c r="H72" s="130"/>
      <c r="I72" s="120">
        <v>76</v>
      </c>
      <c r="J72" s="33" t="s">
        <v>68</v>
      </c>
      <c r="K72" s="116">
        <f t="shared" si="1"/>
        <v>76</v>
      </c>
      <c r="L72" s="163" t="s">
        <v>245</v>
      </c>
      <c r="M72" s="115">
        <f>Auszahlungen!Q71</f>
        <v>677200</v>
      </c>
      <c r="P72" s="130"/>
      <c r="Q72" s="120">
        <v>76</v>
      </c>
      <c r="R72" s="33" t="s">
        <v>68</v>
      </c>
      <c r="S72" s="116">
        <f t="shared" si="2"/>
        <v>76</v>
      </c>
      <c r="T72" s="163" t="s">
        <v>245</v>
      </c>
      <c r="U72" s="115">
        <f>Auszahlungen!Z71</f>
        <v>677200</v>
      </c>
      <c r="X72" s="130"/>
      <c r="Y72" s="120">
        <v>76</v>
      </c>
      <c r="Z72" s="33" t="s">
        <v>68</v>
      </c>
      <c r="AA72" s="116">
        <f t="shared" si="3"/>
        <v>76</v>
      </c>
      <c r="AB72" s="163" t="s">
        <v>245</v>
      </c>
      <c r="AC72" s="115">
        <f>Auszahlungen!AI71</f>
        <v>679900</v>
      </c>
    </row>
    <row r="73" spans="1:29" x14ac:dyDescent="0.2">
      <c r="A73" s="120">
        <v>77</v>
      </c>
      <c r="B73" s="33" t="s">
        <v>69</v>
      </c>
      <c r="C73" s="116">
        <f t="shared" si="0"/>
        <v>77</v>
      </c>
      <c r="D73" s="163" t="s">
        <v>247</v>
      </c>
      <c r="E73" s="115">
        <f>Auszahlungen!H72</f>
        <v>801100</v>
      </c>
      <c r="G73" s="154"/>
      <c r="H73" s="130"/>
      <c r="I73" s="120">
        <v>77</v>
      </c>
      <c r="J73" s="33" t="s">
        <v>69</v>
      </c>
      <c r="K73" s="116">
        <f t="shared" si="1"/>
        <v>77</v>
      </c>
      <c r="L73" s="163" t="s">
        <v>247</v>
      </c>
      <c r="M73" s="115">
        <f>Auszahlungen!Q72</f>
        <v>801100</v>
      </c>
      <c r="P73" s="130"/>
      <c r="Q73" s="120">
        <v>77</v>
      </c>
      <c r="R73" s="33" t="s">
        <v>69</v>
      </c>
      <c r="S73" s="116">
        <f t="shared" si="2"/>
        <v>77</v>
      </c>
      <c r="T73" s="163" t="s">
        <v>247</v>
      </c>
      <c r="U73" s="115">
        <f>Auszahlungen!Z72</f>
        <v>801100</v>
      </c>
      <c r="X73" s="130"/>
      <c r="Y73" s="120">
        <v>77</v>
      </c>
      <c r="Z73" s="33" t="s">
        <v>69</v>
      </c>
      <c r="AA73" s="116">
        <f t="shared" si="3"/>
        <v>77</v>
      </c>
      <c r="AB73" s="163" t="s">
        <v>247</v>
      </c>
      <c r="AC73" s="115">
        <f>Auszahlungen!AI72</f>
        <v>802600</v>
      </c>
    </row>
    <row r="74" spans="1:29" x14ac:dyDescent="0.2">
      <c r="A74" s="120">
        <v>78</v>
      </c>
      <c r="B74" s="33" t="s">
        <v>70</v>
      </c>
      <c r="C74" s="116">
        <f t="shared" ref="C74:C85" si="4">IF(E74=0,"",A74)</f>
        <v>78</v>
      </c>
      <c r="D74" s="105" t="s">
        <v>245</v>
      </c>
      <c r="E74" s="115">
        <f>Auszahlungen!H73</f>
        <v>1798700</v>
      </c>
      <c r="G74" s="154"/>
      <c r="H74" s="130"/>
      <c r="I74" s="120">
        <v>78</v>
      </c>
      <c r="J74" s="33" t="s">
        <v>70</v>
      </c>
      <c r="K74" s="116">
        <f t="shared" ref="K74:K85" si="5">IF(M74=0,"",I74)</f>
        <v>78</v>
      </c>
      <c r="L74" s="105" t="s">
        <v>245</v>
      </c>
      <c r="M74" s="115">
        <f>Auszahlungen!Q73</f>
        <v>1798700</v>
      </c>
      <c r="P74" s="130"/>
      <c r="Q74" s="120">
        <v>78</v>
      </c>
      <c r="R74" s="33" t="s">
        <v>70</v>
      </c>
      <c r="S74" s="116">
        <f t="shared" ref="S74:S85" si="6">IF(U74=0,"",Q74)</f>
        <v>78</v>
      </c>
      <c r="T74" s="105" t="s">
        <v>245</v>
      </c>
      <c r="U74" s="115">
        <f>Auszahlungen!Z73</f>
        <v>1798700</v>
      </c>
      <c r="X74" s="130"/>
      <c r="Y74" s="120">
        <v>78</v>
      </c>
      <c r="Z74" s="33" t="s">
        <v>70</v>
      </c>
      <c r="AA74" s="116">
        <f t="shared" ref="AA74:AA85" si="7">IF(AC74=0,"",Y74)</f>
        <v>78</v>
      </c>
      <c r="AB74" s="105" t="s">
        <v>245</v>
      </c>
      <c r="AC74" s="115">
        <f>Auszahlungen!AI73</f>
        <v>1801400</v>
      </c>
    </row>
    <row r="75" spans="1:29" x14ac:dyDescent="0.2">
      <c r="A75" s="120">
        <v>79</v>
      </c>
      <c r="B75" s="33" t="s">
        <v>71</v>
      </c>
      <c r="C75" s="116">
        <f t="shared" si="4"/>
        <v>79</v>
      </c>
      <c r="D75" s="163" t="s">
        <v>247</v>
      </c>
      <c r="E75" s="115">
        <f>Auszahlungen!H74</f>
        <v>1914900</v>
      </c>
      <c r="G75" s="154"/>
      <c r="H75" s="130"/>
      <c r="I75" s="120">
        <v>79</v>
      </c>
      <c r="J75" s="33" t="s">
        <v>71</v>
      </c>
      <c r="K75" s="116">
        <f t="shared" si="5"/>
        <v>79</v>
      </c>
      <c r="L75" s="163" t="s">
        <v>245</v>
      </c>
      <c r="M75" s="115">
        <f>Auszahlungen!Q74</f>
        <v>1914900</v>
      </c>
      <c r="P75" s="130"/>
      <c r="Q75" s="120">
        <v>79</v>
      </c>
      <c r="R75" s="33" t="s">
        <v>71</v>
      </c>
      <c r="S75" s="116">
        <f t="shared" si="6"/>
        <v>79</v>
      </c>
      <c r="T75" s="163" t="s">
        <v>245</v>
      </c>
      <c r="U75" s="115">
        <f>Auszahlungen!Z74</f>
        <v>1914900</v>
      </c>
      <c r="X75" s="130"/>
      <c r="Y75" s="120">
        <v>79</v>
      </c>
      <c r="Z75" s="33" t="s">
        <v>71</v>
      </c>
      <c r="AA75" s="116">
        <f t="shared" si="7"/>
        <v>79</v>
      </c>
      <c r="AB75" s="163" t="s">
        <v>245</v>
      </c>
      <c r="AC75" s="115">
        <f>Auszahlungen!AI74</f>
        <v>1918900</v>
      </c>
    </row>
    <row r="76" spans="1:29" x14ac:dyDescent="0.2">
      <c r="A76" s="120">
        <v>80</v>
      </c>
      <c r="B76" s="33" t="s">
        <v>72</v>
      </c>
      <c r="C76" s="116">
        <f t="shared" si="4"/>
        <v>80</v>
      </c>
      <c r="D76" s="163" t="s">
        <v>247</v>
      </c>
      <c r="E76" s="115">
        <f>Auszahlungen!H75</f>
        <v>1315900</v>
      </c>
      <c r="G76" s="154"/>
      <c r="H76" s="130"/>
      <c r="I76" s="120">
        <v>80</v>
      </c>
      <c r="J76" s="33" t="s">
        <v>72</v>
      </c>
      <c r="K76" s="116">
        <f t="shared" si="5"/>
        <v>80</v>
      </c>
      <c r="L76" s="163" t="s">
        <v>247</v>
      </c>
      <c r="M76" s="115">
        <f>Auszahlungen!Q75</f>
        <v>1315900</v>
      </c>
      <c r="P76" s="130"/>
      <c r="Q76" s="120">
        <v>80</v>
      </c>
      <c r="R76" s="33" t="s">
        <v>72</v>
      </c>
      <c r="S76" s="116">
        <f t="shared" si="6"/>
        <v>80</v>
      </c>
      <c r="T76" s="163" t="s">
        <v>247</v>
      </c>
      <c r="U76" s="115">
        <f>Auszahlungen!Z75</f>
        <v>1315900</v>
      </c>
      <c r="X76" s="130"/>
      <c r="Y76" s="120">
        <v>80</v>
      </c>
      <c r="Z76" s="33" t="s">
        <v>72</v>
      </c>
      <c r="AA76" s="116">
        <f t="shared" si="7"/>
        <v>80</v>
      </c>
      <c r="AB76" s="163" t="s">
        <v>247</v>
      </c>
      <c r="AC76" s="115">
        <f>Auszahlungen!AI75</f>
        <v>1317800</v>
      </c>
    </row>
    <row r="77" spans="1:29" x14ac:dyDescent="0.2">
      <c r="A77" s="120">
        <v>81</v>
      </c>
      <c r="B77" s="33" t="s">
        <v>73</v>
      </c>
      <c r="C77" s="116">
        <f t="shared" si="4"/>
        <v>81</v>
      </c>
      <c r="D77" s="163" t="s">
        <v>245</v>
      </c>
      <c r="E77" s="115">
        <f>Auszahlungen!H76</f>
        <v>623800</v>
      </c>
      <c r="G77" s="154"/>
      <c r="H77" s="130"/>
      <c r="I77" s="120">
        <v>81</v>
      </c>
      <c r="J77" s="33" t="s">
        <v>73</v>
      </c>
      <c r="K77" s="116">
        <f t="shared" si="5"/>
        <v>81</v>
      </c>
      <c r="L77" s="163" t="s">
        <v>245</v>
      </c>
      <c r="M77" s="115">
        <f>Auszahlungen!Q76</f>
        <v>623800</v>
      </c>
      <c r="P77" s="130"/>
      <c r="Q77" s="120">
        <v>81</v>
      </c>
      <c r="R77" s="33" t="s">
        <v>73</v>
      </c>
      <c r="S77" s="116">
        <f t="shared" si="6"/>
        <v>81</v>
      </c>
      <c r="T77" s="163" t="s">
        <v>245</v>
      </c>
      <c r="U77" s="115">
        <f>Auszahlungen!Z76</f>
        <v>623800</v>
      </c>
      <c r="X77" s="130"/>
      <c r="Y77" s="120">
        <v>81</v>
      </c>
      <c r="Z77" s="33" t="s">
        <v>73</v>
      </c>
      <c r="AA77" s="116">
        <f t="shared" si="7"/>
        <v>81</v>
      </c>
      <c r="AB77" s="163" t="s">
        <v>245</v>
      </c>
      <c r="AC77" s="115">
        <f>Auszahlungen!AI76</f>
        <v>626800</v>
      </c>
    </row>
    <row r="78" spans="1:29" x14ac:dyDescent="0.2">
      <c r="A78" s="120">
        <v>83</v>
      </c>
      <c r="B78" s="33" t="s">
        <v>74</v>
      </c>
      <c r="C78" s="116" t="str">
        <f t="shared" si="4"/>
        <v/>
      </c>
      <c r="D78" s="105" t="s">
        <v>245</v>
      </c>
      <c r="E78" s="115">
        <f>Auszahlungen!H77</f>
        <v>0</v>
      </c>
      <c r="G78" s="154"/>
      <c r="H78" s="130"/>
      <c r="I78" s="120">
        <v>83</v>
      </c>
      <c r="J78" s="33" t="s">
        <v>74</v>
      </c>
      <c r="K78" s="116" t="str">
        <f t="shared" si="5"/>
        <v/>
      </c>
      <c r="L78" s="105" t="s">
        <v>245</v>
      </c>
      <c r="M78" s="115">
        <f>Auszahlungen!Q77</f>
        <v>0</v>
      </c>
      <c r="P78" s="130"/>
      <c r="Q78" s="120">
        <v>83</v>
      </c>
      <c r="R78" s="33" t="s">
        <v>74</v>
      </c>
      <c r="S78" s="116" t="str">
        <f t="shared" si="6"/>
        <v/>
      </c>
      <c r="T78" s="105" t="s">
        <v>245</v>
      </c>
      <c r="U78" s="115">
        <f>Auszahlungen!Z77</f>
        <v>0</v>
      </c>
      <c r="X78" s="130"/>
      <c r="Y78" s="120">
        <v>83</v>
      </c>
      <c r="Z78" s="33" t="s">
        <v>74</v>
      </c>
      <c r="AA78" s="116" t="str">
        <f t="shared" si="7"/>
        <v/>
      </c>
      <c r="AB78" s="105" t="s">
        <v>245</v>
      </c>
      <c r="AC78" s="115">
        <f>Auszahlungen!AI77</f>
        <v>0</v>
      </c>
    </row>
    <row r="79" spans="1:29" x14ac:dyDescent="0.2">
      <c r="A79" s="120">
        <v>84</v>
      </c>
      <c r="B79" s="33" t="s">
        <v>75</v>
      </c>
      <c r="C79" s="116">
        <f t="shared" si="4"/>
        <v>84</v>
      </c>
      <c r="D79" s="163" t="s">
        <v>244</v>
      </c>
      <c r="E79" s="115">
        <f>Auszahlungen!H78</f>
        <v>209400</v>
      </c>
      <c r="G79" s="154"/>
      <c r="H79" s="130"/>
      <c r="I79" s="120">
        <v>84</v>
      </c>
      <c r="J79" s="33" t="s">
        <v>75</v>
      </c>
      <c r="K79" s="116">
        <f t="shared" si="5"/>
        <v>84</v>
      </c>
      <c r="L79" s="163" t="s">
        <v>244</v>
      </c>
      <c r="M79" s="115">
        <f>Auszahlungen!Q78</f>
        <v>209400</v>
      </c>
      <c r="P79" s="130"/>
      <c r="Q79" s="120">
        <v>84</v>
      </c>
      <c r="R79" s="33" t="s">
        <v>75</v>
      </c>
      <c r="S79" s="116">
        <f t="shared" si="6"/>
        <v>84</v>
      </c>
      <c r="T79" s="163" t="s">
        <v>244</v>
      </c>
      <c r="U79" s="115">
        <f>Auszahlungen!Z78</f>
        <v>209400</v>
      </c>
      <c r="X79" s="130"/>
      <c r="Y79" s="120">
        <v>84</v>
      </c>
      <c r="Z79" s="33" t="s">
        <v>75</v>
      </c>
      <c r="AA79" s="116">
        <f t="shared" si="7"/>
        <v>84</v>
      </c>
      <c r="AB79" s="163" t="s">
        <v>244</v>
      </c>
      <c r="AC79" s="115">
        <f>Auszahlungen!AI78</f>
        <v>209900</v>
      </c>
    </row>
    <row r="80" spans="1:29" x14ac:dyDescent="0.2">
      <c r="A80" s="120">
        <v>85</v>
      </c>
      <c r="B80" s="33" t="s">
        <v>76</v>
      </c>
      <c r="C80" s="116">
        <f t="shared" si="4"/>
        <v>85</v>
      </c>
      <c r="D80" s="105" t="s">
        <v>245</v>
      </c>
      <c r="E80" s="115">
        <f>Auszahlungen!H79</f>
        <v>531600</v>
      </c>
      <c r="G80" s="154"/>
      <c r="H80" s="130"/>
      <c r="I80" s="120">
        <v>85</v>
      </c>
      <c r="J80" s="33" t="s">
        <v>76</v>
      </c>
      <c r="K80" s="116">
        <f t="shared" si="5"/>
        <v>85</v>
      </c>
      <c r="L80" s="105" t="s">
        <v>245</v>
      </c>
      <c r="M80" s="115">
        <f>Auszahlungen!Q79</f>
        <v>531600</v>
      </c>
      <c r="P80" s="130"/>
      <c r="Q80" s="120">
        <v>85</v>
      </c>
      <c r="R80" s="33" t="s">
        <v>76</v>
      </c>
      <c r="S80" s="116">
        <f t="shared" si="6"/>
        <v>85</v>
      </c>
      <c r="T80" s="105" t="s">
        <v>245</v>
      </c>
      <c r="U80" s="115">
        <f>Auszahlungen!Z79</f>
        <v>531600</v>
      </c>
      <c r="X80" s="130"/>
      <c r="Y80" s="120">
        <v>85</v>
      </c>
      <c r="Z80" s="33" t="s">
        <v>76</v>
      </c>
      <c r="AA80" s="116">
        <f t="shared" si="7"/>
        <v>85</v>
      </c>
      <c r="AB80" s="105" t="s">
        <v>245</v>
      </c>
      <c r="AC80" s="115">
        <f>Auszahlungen!AI79</f>
        <v>532400</v>
      </c>
    </row>
    <row r="81" spans="1:29" x14ac:dyDescent="0.2">
      <c r="A81" s="120">
        <v>86</v>
      </c>
      <c r="B81" s="33" t="s">
        <v>77</v>
      </c>
      <c r="C81" s="116">
        <f t="shared" si="4"/>
        <v>86</v>
      </c>
      <c r="D81" s="163" t="s">
        <v>247</v>
      </c>
      <c r="E81" s="115">
        <f>Auszahlungen!H80</f>
        <v>767200</v>
      </c>
      <c r="G81" s="154"/>
      <c r="H81" s="130"/>
      <c r="I81" s="120">
        <v>86</v>
      </c>
      <c r="J81" s="33" t="s">
        <v>77</v>
      </c>
      <c r="K81" s="116">
        <f t="shared" si="5"/>
        <v>86</v>
      </c>
      <c r="L81" s="163" t="s">
        <v>247</v>
      </c>
      <c r="M81" s="115">
        <f>Auszahlungen!Q80</f>
        <v>767200</v>
      </c>
      <c r="P81" s="130"/>
      <c r="Q81" s="120">
        <v>86</v>
      </c>
      <c r="R81" s="33" t="s">
        <v>77</v>
      </c>
      <c r="S81" s="116">
        <f t="shared" si="6"/>
        <v>86</v>
      </c>
      <c r="T81" s="163" t="s">
        <v>247</v>
      </c>
      <c r="U81" s="115">
        <f>Auszahlungen!Z80</f>
        <v>767200</v>
      </c>
      <c r="X81" s="130"/>
      <c r="Y81" s="120">
        <v>86</v>
      </c>
      <c r="Z81" s="33" t="s">
        <v>77</v>
      </c>
      <c r="AA81" s="116">
        <f t="shared" si="7"/>
        <v>86</v>
      </c>
      <c r="AB81" s="163" t="s">
        <v>247</v>
      </c>
      <c r="AC81" s="115">
        <f>Auszahlungen!AI80</f>
        <v>769000</v>
      </c>
    </row>
    <row r="82" spans="1:29" x14ac:dyDescent="0.2">
      <c r="A82" s="120">
        <v>87</v>
      </c>
      <c r="B82" s="33" t="s">
        <v>78</v>
      </c>
      <c r="C82" s="116">
        <f t="shared" si="4"/>
        <v>87</v>
      </c>
      <c r="D82" s="163" t="s">
        <v>245</v>
      </c>
      <c r="E82" s="115">
        <f>Auszahlungen!H81</f>
        <v>113900</v>
      </c>
      <c r="G82" s="154"/>
      <c r="H82" s="130"/>
      <c r="I82" s="120">
        <v>87</v>
      </c>
      <c r="J82" s="33" t="s">
        <v>78</v>
      </c>
      <c r="K82" s="116">
        <f t="shared" si="5"/>
        <v>87</v>
      </c>
      <c r="L82" s="163" t="s">
        <v>245</v>
      </c>
      <c r="M82" s="115">
        <f>Auszahlungen!Q81</f>
        <v>113900</v>
      </c>
      <c r="P82" s="130"/>
      <c r="Q82" s="120">
        <v>87</v>
      </c>
      <c r="R82" s="33" t="s">
        <v>78</v>
      </c>
      <c r="S82" s="116">
        <f t="shared" si="6"/>
        <v>87</v>
      </c>
      <c r="T82" s="163" t="s">
        <v>245</v>
      </c>
      <c r="U82" s="115">
        <f>Auszahlungen!Z81</f>
        <v>113900</v>
      </c>
      <c r="X82" s="130"/>
      <c r="Y82" s="120">
        <v>87</v>
      </c>
      <c r="Z82" s="33" t="s">
        <v>78</v>
      </c>
      <c r="AA82" s="116">
        <f t="shared" si="7"/>
        <v>87</v>
      </c>
      <c r="AB82" s="163" t="s">
        <v>245</v>
      </c>
      <c r="AC82" s="115">
        <f>Auszahlungen!AI81</f>
        <v>113800</v>
      </c>
    </row>
    <row r="83" spans="1:29" x14ac:dyDescent="0.2">
      <c r="A83" s="120">
        <v>88</v>
      </c>
      <c r="B83" s="33" t="s">
        <v>79</v>
      </c>
      <c r="C83" s="116">
        <f t="shared" si="4"/>
        <v>88</v>
      </c>
      <c r="D83" s="163" t="s">
        <v>244</v>
      </c>
      <c r="E83" s="115">
        <f>Auszahlungen!H82</f>
        <v>276800</v>
      </c>
      <c r="G83" s="154"/>
      <c r="H83" s="130"/>
      <c r="I83" s="120">
        <v>88</v>
      </c>
      <c r="J83" s="33" t="s">
        <v>79</v>
      </c>
      <c r="K83" s="116">
        <f t="shared" si="5"/>
        <v>88</v>
      </c>
      <c r="L83" s="163" t="s">
        <v>244</v>
      </c>
      <c r="M83" s="115">
        <f>Auszahlungen!Q82</f>
        <v>276800</v>
      </c>
      <c r="P83" s="130"/>
      <c r="Q83" s="120">
        <v>88</v>
      </c>
      <c r="R83" s="33" t="s">
        <v>79</v>
      </c>
      <c r="S83" s="116">
        <f t="shared" si="6"/>
        <v>88</v>
      </c>
      <c r="T83" s="163" t="s">
        <v>244</v>
      </c>
      <c r="U83" s="115">
        <f>Auszahlungen!Z82</f>
        <v>276800</v>
      </c>
      <c r="X83" s="130"/>
      <c r="Y83" s="120">
        <v>88</v>
      </c>
      <c r="Z83" s="33" t="s">
        <v>79</v>
      </c>
      <c r="AA83" s="116">
        <f t="shared" si="7"/>
        <v>88</v>
      </c>
      <c r="AB83" s="163" t="s">
        <v>244</v>
      </c>
      <c r="AC83" s="115">
        <f>Auszahlungen!AI82</f>
        <v>278700</v>
      </c>
    </row>
    <row r="84" spans="1:29" x14ac:dyDescent="0.2">
      <c r="A84" s="120">
        <v>89</v>
      </c>
      <c r="B84" s="33" t="s">
        <v>80</v>
      </c>
      <c r="C84" s="116">
        <f t="shared" si="4"/>
        <v>89</v>
      </c>
      <c r="D84" s="105" t="s">
        <v>245</v>
      </c>
      <c r="E84" s="115">
        <f>Auszahlungen!H83</f>
        <v>1244800</v>
      </c>
      <c r="G84" s="154"/>
      <c r="H84" s="130"/>
      <c r="I84" s="120">
        <v>89</v>
      </c>
      <c r="J84" s="33" t="s">
        <v>80</v>
      </c>
      <c r="K84" s="116">
        <f t="shared" si="5"/>
        <v>89</v>
      </c>
      <c r="L84" s="105" t="s">
        <v>245</v>
      </c>
      <c r="M84" s="115">
        <f>Auszahlungen!Q83</f>
        <v>1244800</v>
      </c>
      <c r="P84" s="130"/>
      <c r="Q84" s="120">
        <v>89</v>
      </c>
      <c r="R84" s="33" t="s">
        <v>80</v>
      </c>
      <c r="S84" s="116">
        <f t="shared" si="6"/>
        <v>89</v>
      </c>
      <c r="T84" s="105" t="s">
        <v>245</v>
      </c>
      <c r="U84" s="115">
        <f>Auszahlungen!Z83</f>
        <v>1244800</v>
      </c>
      <c r="X84" s="130"/>
      <c r="Y84" s="120">
        <v>89</v>
      </c>
      <c r="Z84" s="33" t="s">
        <v>80</v>
      </c>
      <c r="AA84" s="116">
        <f t="shared" si="7"/>
        <v>89</v>
      </c>
      <c r="AB84" s="105" t="s">
        <v>245</v>
      </c>
      <c r="AC84" s="115">
        <f>Auszahlungen!AI83</f>
        <v>1248100</v>
      </c>
    </row>
    <row r="85" spans="1:29" x14ac:dyDescent="0.2">
      <c r="A85" s="120">
        <v>90</v>
      </c>
      <c r="B85" s="33" t="s">
        <v>81</v>
      </c>
      <c r="C85" s="116">
        <f t="shared" si="4"/>
        <v>90</v>
      </c>
      <c r="D85" s="105" t="s">
        <v>245</v>
      </c>
      <c r="E85" s="115">
        <f>Auszahlungen!H84</f>
        <v>22200</v>
      </c>
      <c r="G85" s="154"/>
      <c r="H85" s="130"/>
      <c r="I85" s="120">
        <v>90</v>
      </c>
      <c r="J85" s="33" t="s">
        <v>81</v>
      </c>
      <c r="K85" s="116">
        <f t="shared" si="5"/>
        <v>90</v>
      </c>
      <c r="L85" s="105" t="s">
        <v>245</v>
      </c>
      <c r="M85" s="115">
        <f>Auszahlungen!Q84</f>
        <v>22200</v>
      </c>
      <c r="P85" s="130"/>
      <c r="Q85" s="120">
        <v>90</v>
      </c>
      <c r="R85" s="33" t="s">
        <v>81</v>
      </c>
      <c r="S85" s="116">
        <f t="shared" si="6"/>
        <v>90</v>
      </c>
      <c r="T85" s="105" t="s">
        <v>245</v>
      </c>
      <c r="U85" s="115">
        <f>Auszahlungen!Z84</f>
        <v>22200</v>
      </c>
      <c r="X85" s="130"/>
      <c r="Y85" s="120">
        <v>90</v>
      </c>
      <c r="Z85" s="33" t="s">
        <v>81</v>
      </c>
      <c r="AA85" s="116">
        <f t="shared" si="7"/>
        <v>90</v>
      </c>
      <c r="AB85" s="105" t="s">
        <v>245</v>
      </c>
      <c r="AC85" s="115">
        <f>Auszahlungen!AI84</f>
        <v>22400</v>
      </c>
    </row>
    <row r="86" spans="1:29" x14ac:dyDescent="0.2">
      <c r="A86" s="121"/>
      <c r="B86" s="126" t="s">
        <v>82</v>
      </c>
      <c r="C86" s="122"/>
      <c r="D86" s="128"/>
      <c r="E86" s="123">
        <f>SUM(E9:E85)</f>
        <v>58562700</v>
      </c>
      <c r="G86" s="154"/>
      <c r="H86" s="130"/>
      <c r="I86" s="121"/>
      <c r="J86" s="126" t="s">
        <v>82</v>
      </c>
      <c r="K86" s="122"/>
      <c r="L86" s="128"/>
      <c r="M86" s="123">
        <f>SUM(M9:M85)</f>
        <v>58562700</v>
      </c>
      <c r="P86" s="130"/>
      <c r="Q86" s="121"/>
      <c r="R86" s="126" t="s">
        <v>82</v>
      </c>
      <c r="S86" s="122"/>
      <c r="T86" s="128"/>
      <c r="U86" s="123">
        <f>SUM(U9:U85)</f>
        <v>58562700</v>
      </c>
      <c r="X86" s="130"/>
      <c r="Y86" s="121"/>
      <c r="Z86" s="126" t="s">
        <v>82</v>
      </c>
      <c r="AA86" s="122"/>
      <c r="AB86" s="128"/>
      <c r="AC86" s="123">
        <f>SUM(AC9:AC85)</f>
        <v>58641300</v>
      </c>
    </row>
    <row r="87" spans="1:29" ht="30" customHeight="1" x14ac:dyDescent="0.2">
      <c r="A87" s="124"/>
      <c r="B87" s="127" t="s">
        <v>252</v>
      </c>
      <c r="C87" s="125"/>
      <c r="D87" s="127"/>
      <c r="E87" s="143" t="s">
        <v>284</v>
      </c>
      <c r="H87" s="130"/>
      <c r="I87" s="124"/>
      <c r="J87" s="127" t="s">
        <v>252</v>
      </c>
      <c r="K87" s="125"/>
      <c r="L87" s="127"/>
      <c r="M87" s="143" t="s">
        <v>284</v>
      </c>
      <c r="P87" s="130"/>
      <c r="Q87" s="124"/>
      <c r="R87" s="127" t="s">
        <v>252</v>
      </c>
      <c r="S87" s="125"/>
      <c r="T87" s="127"/>
      <c r="U87" s="143" t="s">
        <v>284</v>
      </c>
      <c r="X87" s="130"/>
      <c r="Y87" s="124"/>
      <c r="Z87" s="127" t="s">
        <v>252</v>
      </c>
      <c r="AA87" s="125"/>
      <c r="AB87" s="127"/>
      <c r="AC87" s="143" t="s">
        <v>284</v>
      </c>
    </row>
  </sheetData>
  <pageMargins left="0.51181102362204722" right="0.51181102362204722" top="0.39370078740157483" bottom="0.39370078740157483" header="0.31496062992125984" footer="0.31496062992125984"/>
  <pageSetup paperSize="9" orientation="portrait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</vt:i4>
      </vt:variant>
    </vt:vector>
  </HeadingPairs>
  <TitlesOfParts>
    <vt:vector size="19" baseType="lpstr">
      <vt:lpstr>Anleitung</vt:lpstr>
      <vt:lpstr>Ressourcenausgleich Basis</vt:lpstr>
      <vt:lpstr>SL Weite Basis</vt:lpstr>
      <vt:lpstr>SL Schule Basis</vt:lpstr>
      <vt:lpstr>SL Sozio Basis</vt:lpstr>
      <vt:lpstr>SL Stadt SG Basis</vt:lpstr>
      <vt:lpstr>Total</vt:lpstr>
      <vt:lpstr>Auszahlungen</vt:lpstr>
      <vt:lpstr>Kreditorenbelege</vt:lpstr>
      <vt:lpstr>Kontierungsbelege</vt:lpstr>
      <vt:lpstr>Finanzausgleichsbeiträge</vt:lpstr>
      <vt:lpstr>Details Ressourcenausgleich</vt:lpstr>
      <vt:lpstr>Details SL Weite</vt:lpstr>
      <vt:lpstr>Details SL Schule</vt:lpstr>
      <vt:lpstr>Details SL Sozio</vt:lpstr>
      <vt:lpstr>Details SL Stadt SG</vt:lpstr>
      <vt:lpstr>Auszahlungen!Druckbereich</vt:lpstr>
      <vt:lpstr>Kontierungsbelege!Druckbereich</vt:lpstr>
      <vt:lpstr>Kreditorenbelege!Druckbereich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Gemperle, Mario</dc:creator>
  <cp:lastModifiedBy>Gemperle, Mario</cp:lastModifiedBy>
  <cp:lastPrinted>2021-11-15T10:20:32Z</cp:lastPrinted>
  <dcterms:created xsi:type="dcterms:W3CDTF">2020-07-23T07:04:43Z</dcterms:created>
  <dcterms:modified xsi:type="dcterms:W3CDTF">2021-11-15T11:22:35Z</dcterms:modified>
</cp:coreProperties>
</file>