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Gruppen\5 Finanzausgleich\54 Vollzug\54-03_FAG 2016\Alle Stufen\"/>
    </mc:Choice>
  </mc:AlternateContent>
  <bookViews>
    <workbookView xWindow="0" yWindow="0" windowWidth="28800" windowHeight="12630"/>
  </bookViews>
  <sheets>
    <sheet name="FAG2016" sheetId="2" r:id="rId1"/>
    <sheet name="Basis" sheetId="1" r:id="rId2"/>
  </sheets>
  <calcPr calcId="152511"/>
</workbook>
</file>

<file path=xl/calcChain.xml><?xml version="1.0" encoding="utf-8"?>
<calcChain xmlns="http://schemas.openxmlformats.org/spreadsheetml/2006/main">
  <c r="B106" i="2" l="1"/>
  <c r="B102" i="2"/>
  <c r="B100" i="2"/>
  <c r="B91" i="2"/>
  <c r="B85" i="2"/>
  <c r="B83" i="2"/>
  <c r="B74" i="2"/>
  <c r="B66" i="2"/>
  <c r="B63" i="2"/>
  <c r="B61" i="2"/>
  <c r="B52" i="2"/>
  <c r="B45" i="2"/>
  <c r="B38" i="2"/>
  <c r="B32" i="2"/>
  <c r="B29" i="2"/>
  <c r="B22" i="2"/>
  <c r="B19" i="2"/>
  <c r="B12" i="2"/>
  <c r="B3" i="2"/>
  <c r="D82" i="1" l="1"/>
  <c r="E82" i="1"/>
  <c r="F82" i="1"/>
  <c r="C82" i="1"/>
  <c r="E79" i="2" l="1"/>
  <c r="E78" i="2"/>
  <c r="E70" i="2"/>
  <c r="E69" i="2"/>
  <c r="E57" i="2"/>
  <c r="E56" i="2"/>
  <c r="B57" i="2"/>
  <c r="B56" i="2"/>
  <c r="E50" i="2"/>
  <c r="E49" i="2"/>
  <c r="E43" i="2"/>
  <c r="E42" i="2"/>
  <c r="E36" i="2"/>
  <c r="E35" i="2"/>
  <c r="E25" i="2"/>
  <c r="E24" i="2"/>
  <c r="E102" i="2" l="1"/>
  <c r="D102" i="2" s="1"/>
  <c r="E100" i="2"/>
  <c r="B96" i="2"/>
  <c r="E96" i="2"/>
  <c r="E106" i="2"/>
  <c r="D106" i="2" s="1"/>
  <c r="E99" i="2"/>
  <c r="E98" i="2"/>
  <c r="E90" i="2"/>
  <c r="D90" i="2" s="1"/>
  <c r="E89" i="2"/>
  <c r="E88" i="2"/>
  <c r="E82" i="2"/>
  <c r="E81" i="2"/>
  <c r="E80" i="2"/>
  <c r="E73" i="2"/>
  <c r="E72" i="2"/>
  <c r="E71" i="2"/>
  <c r="E58" i="2"/>
  <c r="E61" i="2" s="1"/>
  <c r="E51" i="2"/>
  <c r="E52" i="2" s="1"/>
  <c r="E44" i="2"/>
  <c r="E37" i="2"/>
  <c r="E28" i="2"/>
  <c r="E27" i="2"/>
  <c r="E26" i="2"/>
  <c r="E18" i="2"/>
  <c r="E17" i="2"/>
  <c r="E16" i="2"/>
  <c r="E15" i="2"/>
  <c r="E14" i="2"/>
  <c r="B99" i="2"/>
  <c r="B98" i="2"/>
  <c r="B88" i="2"/>
  <c r="B80" i="2"/>
  <c r="B79" i="2"/>
  <c r="B78" i="2"/>
  <c r="B71" i="2"/>
  <c r="B70" i="2"/>
  <c r="B69" i="2"/>
  <c r="B58" i="2"/>
  <c r="B51" i="2"/>
  <c r="B50" i="2"/>
  <c r="B49" i="2"/>
  <c r="B44" i="2"/>
  <c r="B43" i="2"/>
  <c r="B42" i="2"/>
  <c r="B37" i="2"/>
  <c r="B36" i="2"/>
  <c r="B35" i="2"/>
  <c r="B26" i="2"/>
  <c r="B25" i="2"/>
  <c r="B24" i="2"/>
  <c r="B18" i="2"/>
  <c r="B17" i="2"/>
  <c r="B16" i="2"/>
  <c r="B15" i="2"/>
  <c r="D52" i="2" l="1"/>
  <c r="E45" i="2"/>
  <c r="D45" i="2" s="1"/>
  <c r="E38" i="2"/>
  <c r="D38" i="2" s="1"/>
  <c r="E74" i="2"/>
  <c r="D74" i="2" s="1"/>
  <c r="E19" i="2"/>
  <c r="E110" i="2" s="1"/>
  <c r="E29" i="2"/>
  <c r="E111" i="2" s="1"/>
  <c r="E83" i="2"/>
  <c r="D83" i="2" s="1"/>
  <c r="E91" i="2"/>
  <c r="D91" i="2" s="1"/>
  <c r="E116" i="2"/>
  <c r="D100" i="2"/>
  <c r="E115" i="2"/>
  <c r="D89" i="2"/>
  <c r="E117" i="2"/>
  <c r="E63" i="2" l="1"/>
  <c r="D63" i="2" s="1"/>
  <c r="D29" i="2"/>
  <c r="E85" i="2"/>
  <c r="E112" i="2" s="1"/>
  <c r="E114" i="2"/>
  <c r="D61" i="2"/>
  <c r="E113" i="2" l="1"/>
  <c r="E118" i="2" s="1"/>
  <c r="E119" i="2" s="1"/>
  <c r="D85" i="2"/>
</calcChain>
</file>

<file path=xl/sharedStrings.xml><?xml version="1.0" encoding="utf-8"?>
<sst xmlns="http://schemas.openxmlformats.org/spreadsheetml/2006/main" count="371" uniqueCount="237">
  <si>
    <t>Nr.</t>
  </si>
  <si>
    <t>Gemeinde</t>
  </si>
  <si>
    <t>Ressourcen-
ausgleich</t>
  </si>
  <si>
    <t>Sonderlasten-ausgleich Weite</t>
  </si>
  <si>
    <t>Sonderlasten-ausgleich Schule</t>
  </si>
  <si>
    <t>Sonderlasten-ausgleich Soziales</t>
  </si>
  <si>
    <t>Nettoaufwand für Pflegekinder in Pflegefamilien</t>
  </si>
  <si>
    <t>Nettoaufwand für sozialpäd. Familienbegleitung</t>
  </si>
  <si>
    <t>Nettoaufwand für finanzielle Sozialhilfe</t>
  </si>
  <si>
    <t>Nettoaufwand für Mutterschafts-beiträge</t>
  </si>
  <si>
    <t>Nettoaufwand für Alimenten-bevorschussung</t>
  </si>
  <si>
    <t>Nettoaufwand für abreitsmarktliche Projekte</t>
  </si>
  <si>
    <t>Nettoaufwand für stationäre Pflege</t>
  </si>
  <si>
    <t>Einkommens- und Vermögenssteuer</t>
  </si>
  <si>
    <t>Quellensteuer</t>
  </si>
  <si>
    <t>Gewinn- und Kapitalsteuer</t>
  </si>
  <si>
    <t>Grundsteuer</t>
  </si>
  <si>
    <t>Technische Steuerkraft pro Einwohner der Gemeinde</t>
  </si>
  <si>
    <t>Ausgleichsfaktor nach Art. 9 FAG</t>
  </si>
  <si>
    <t>Beitrag pro gewichtetem Strassenkilometer</t>
  </si>
  <si>
    <t>Beitrag Stadt nach Art. 25 Abs. 1 FAG</t>
  </si>
  <si>
    <t>Beitrag Stadt nach Art. 25 Abs. 2 FAG</t>
  </si>
  <si>
    <t>St.Gallen</t>
  </si>
  <si>
    <t>Wittenbach</t>
  </si>
  <si>
    <t>Häggenschwil</t>
  </si>
  <si>
    <t>Muolen</t>
  </si>
  <si>
    <t>Mörschwil</t>
  </si>
  <si>
    <t>Goldach</t>
  </si>
  <si>
    <t>Steinach</t>
  </si>
  <si>
    <t>Berg</t>
  </si>
  <si>
    <t>Tübach</t>
  </si>
  <si>
    <t>Untereggen</t>
  </si>
  <si>
    <t>Eggersriet</t>
  </si>
  <si>
    <t>Rorschacherberg</t>
  </si>
  <si>
    <t>Rorschach</t>
  </si>
  <si>
    <t>Thal</t>
  </si>
  <si>
    <t>Rheineck</t>
  </si>
  <si>
    <t>St.Margrethen</t>
  </si>
  <si>
    <t>Au</t>
  </si>
  <si>
    <t>Berneck</t>
  </si>
  <si>
    <t>Balgach</t>
  </si>
  <si>
    <t>Diepoldsau</t>
  </si>
  <si>
    <t>Widnau</t>
  </si>
  <si>
    <t>Rebstein</t>
  </si>
  <si>
    <t>Marbach</t>
  </si>
  <si>
    <t>Altstätten</t>
  </si>
  <si>
    <t>Eichberg</t>
  </si>
  <si>
    <t>Oberriet</t>
  </si>
  <si>
    <t>Rüthi</t>
  </si>
  <si>
    <t>Sennwald</t>
  </si>
  <si>
    <t>Gams</t>
  </si>
  <si>
    <t>Grabs</t>
  </si>
  <si>
    <t>Buchs</t>
  </si>
  <si>
    <t>Sevelen</t>
  </si>
  <si>
    <t>Wartau</t>
  </si>
  <si>
    <t>Sargans</t>
  </si>
  <si>
    <t>Vilters-Wangs</t>
  </si>
  <si>
    <t>Bad Ragaz</t>
  </si>
  <si>
    <t>Pfäfers</t>
  </si>
  <si>
    <t>Mels</t>
  </si>
  <si>
    <t>Flums</t>
  </si>
  <si>
    <t>Walenstadt</t>
  </si>
  <si>
    <t>Quarten</t>
  </si>
  <si>
    <t>Amden</t>
  </si>
  <si>
    <t>Weesen</t>
  </si>
  <si>
    <t>Schänis</t>
  </si>
  <si>
    <t>Benken</t>
  </si>
  <si>
    <t>Kaltbrunn</t>
  </si>
  <si>
    <t>Gommiswald</t>
  </si>
  <si>
    <t>Uznach</t>
  </si>
  <si>
    <t>Schmerikon</t>
  </si>
  <si>
    <t>Rapperswil-Jona</t>
  </si>
  <si>
    <t>Eschenbach</t>
  </si>
  <si>
    <t>Wildhaus-Alt St.Johann</t>
  </si>
  <si>
    <t>Nesslau</t>
  </si>
  <si>
    <t>Ebnat-Kappel</t>
  </si>
  <si>
    <t>Wattwil</t>
  </si>
  <si>
    <t>Lichtensteig</t>
  </si>
  <si>
    <t>Oberhelfenschwil</t>
  </si>
  <si>
    <t>Neckertal</t>
  </si>
  <si>
    <t>Hemberg</t>
  </si>
  <si>
    <t>Bütschwil-Ganterschwil</t>
  </si>
  <si>
    <t>Lütisburg</t>
  </si>
  <si>
    <t>Mosnang</t>
  </si>
  <si>
    <t>Kirchberg</t>
  </si>
  <si>
    <t>Jonschwil</t>
  </si>
  <si>
    <t>Oberuzwil</t>
  </si>
  <si>
    <t>Uzwil</t>
  </si>
  <si>
    <t>Flawil</t>
  </si>
  <si>
    <t>Degersheim</t>
  </si>
  <si>
    <t>Wil</t>
  </si>
  <si>
    <t>Zuzwil</t>
  </si>
  <si>
    <t>Oberbüren</t>
  </si>
  <si>
    <t>Niederbüren</t>
  </si>
  <si>
    <t>Niederhelfenschwil</t>
  </si>
  <si>
    <t>Gossau</t>
  </si>
  <si>
    <t>Andwil</t>
  </si>
  <si>
    <t>Waldkirch</t>
  </si>
  <si>
    <t>Gaiserwald</t>
  </si>
  <si>
    <t>Total</t>
  </si>
  <si>
    <t>Kanton St.Gallen</t>
  </si>
  <si>
    <t>Amt für Gemeinden</t>
  </si>
  <si>
    <t>Politische Gemeinde:</t>
  </si>
  <si>
    <t>Rechnungsjahr:</t>
  </si>
  <si>
    <t>1. Stufe Finanzausgleich (Art. 5 bis 27 FAG)</t>
  </si>
  <si>
    <t>Ressourcenausgleich (Art. 5 bis 10 FAG)</t>
  </si>
  <si>
    <t>Formel gemäss Anhang 1 FAG</t>
  </si>
  <si>
    <r>
      <t>RA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(ρ x tSTK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 xml:space="preserve"> - tSTK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>) x 
(0.83 x SF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+ 0.17 x 150 Prozent) x BEV</t>
    </r>
    <r>
      <rPr>
        <vertAlign val="subscript"/>
        <sz val="10"/>
        <rFont val="Arial"/>
        <family val="2"/>
      </rPr>
      <t>Gemeinde</t>
    </r>
  </si>
  <si>
    <t>Ausgleichsfaktor</t>
  </si>
  <si>
    <t>ρ</t>
  </si>
  <si>
    <t>%</t>
  </si>
  <si>
    <r>
      <t>tSTK</t>
    </r>
    <r>
      <rPr>
        <vertAlign val="subscript"/>
        <sz val="10"/>
        <rFont val="Arial"/>
        <family val="2"/>
      </rPr>
      <t>Kanton</t>
    </r>
  </si>
  <si>
    <t>Fr.</t>
  </si>
  <si>
    <r>
      <t>tSTK</t>
    </r>
    <r>
      <rPr>
        <vertAlign val="subscript"/>
        <sz val="10"/>
        <rFont val="Arial"/>
        <family val="2"/>
      </rPr>
      <t>Gemeinde</t>
    </r>
  </si>
  <si>
    <r>
      <t>SF</t>
    </r>
    <r>
      <rPr>
        <vertAlign val="subscript"/>
        <sz val="10"/>
        <rFont val="Arial"/>
        <family val="2"/>
      </rPr>
      <t>Gemeinde</t>
    </r>
  </si>
  <si>
    <r>
      <t>BEV</t>
    </r>
    <r>
      <rPr>
        <vertAlign val="subscript"/>
        <sz val="10"/>
        <rFont val="Arial"/>
        <family val="2"/>
      </rPr>
      <t>Gemeinde</t>
    </r>
  </si>
  <si>
    <t>Ew</t>
  </si>
  <si>
    <r>
      <t>RA</t>
    </r>
    <r>
      <rPr>
        <b/>
        <vertAlign val="subscript"/>
        <sz val="10"/>
        <rFont val="Arial"/>
        <family val="2"/>
      </rPr>
      <t>Gemeinde</t>
    </r>
  </si>
  <si>
    <t>Sonderlastenausgleich Weite (Art. 11 - 17 FAG)</t>
  </si>
  <si>
    <t>Formel gemäss Anhang 2 FAG</t>
  </si>
  <si>
    <r>
      <t>Str</t>
    </r>
    <r>
      <rPr>
        <vertAlign val="subscript"/>
        <sz val="10"/>
        <rFont val="Arial"/>
        <family val="2"/>
      </rPr>
      <t>Gemeinde</t>
    </r>
  </si>
  <si>
    <t>km</t>
  </si>
  <si>
    <r>
      <t>Str</t>
    </r>
    <r>
      <rPr>
        <vertAlign val="subscript"/>
        <sz val="10"/>
        <rFont val="Arial"/>
        <family val="2"/>
      </rPr>
      <t>Kanton</t>
    </r>
  </si>
  <si>
    <t>Pauschalbetrag je gewichtetem Strassenkilometer, teuerungsbereinigt</t>
  </si>
  <si>
    <r>
      <t>M</t>
    </r>
    <r>
      <rPr>
        <vertAlign val="subscript"/>
        <sz val="10"/>
        <rFont val="Arial"/>
        <family val="2"/>
      </rPr>
      <t>Str</t>
    </r>
  </si>
  <si>
    <t>Kürzung gemäss Anhang 5 FAG</t>
  </si>
  <si>
    <r>
      <t>SLW</t>
    </r>
    <r>
      <rPr>
        <b/>
        <vertAlign val="subscript"/>
        <sz val="10"/>
        <rFont val="Arial"/>
        <family val="2"/>
      </rPr>
      <t>Gemeinde</t>
    </r>
  </si>
  <si>
    <t>Soziodemographischer Sonderlastenausgleich (Art. 17a -17i FAG)</t>
  </si>
  <si>
    <t>a) Unterbringung Kinder und Jugendliche</t>
  </si>
  <si>
    <t>Formel gemäss Anhang 2a Bst. a FAG</t>
  </si>
  <si>
    <t>b) Sozialhilfe</t>
  </si>
  <si>
    <t>Formel gemäss Anhang 2a Bst. b FAG</t>
  </si>
  <si>
    <t>c) Stationäre Pflege</t>
  </si>
  <si>
    <t>Formel gemäss Anhang 2a Bst. c FAG</t>
  </si>
  <si>
    <t>Wert</t>
  </si>
  <si>
    <t>d) Ambulante Pflege</t>
  </si>
  <si>
    <t>Sonderlastenausgleich Schule (Art. 18 - 23 FAG)</t>
  </si>
  <si>
    <t>a) Volksschule</t>
  </si>
  <si>
    <t>Formel gemäss Anhang 3a FAG</t>
  </si>
  <si>
    <t>Pauschalbetrag je Schüler/in in der Volksschule</t>
  </si>
  <si>
    <r>
      <t>M</t>
    </r>
    <r>
      <rPr>
        <vertAlign val="subscript"/>
        <sz val="10"/>
        <rFont val="Arial"/>
        <family val="2"/>
      </rPr>
      <t>Sch</t>
    </r>
  </si>
  <si>
    <t>b) Sonderschule</t>
  </si>
  <si>
    <t>Formel gemäss Anhang 3b FAG</t>
  </si>
  <si>
    <t>Pauschalbetrag je Schüler/in in der Sonderschule</t>
  </si>
  <si>
    <r>
      <t>M</t>
    </r>
    <r>
      <rPr>
        <vertAlign val="subscript"/>
        <sz val="10"/>
        <rFont val="Arial"/>
        <family val="2"/>
      </rPr>
      <t>SoSch</t>
    </r>
  </si>
  <si>
    <t>Sonderlastenausgleich Stadt St.Gallen (Art. 24 - 27 FAG)</t>
  </si>
  <si>
    <t>Beitrag nach Art. 25 Abs. 1 FAG, teuerungsbereinigt</t>
  </si>
  <si>
    <t>Basis: 7'500'000</t>
  </si>
  <si>
    <t>Beitrag nach Art. 25 Abs. 2 FAG, teuerungsbereinigt</t>
  </si>
  <si>
    <t>Basis: 9'000'000</t>
  </si>
  <si>
    <t>2. Stufe Finanzausgleich (Art. 31 bis 43 FAG)</t>
  </si>
  <si>
    <t>Formel gemäss Anhang 4 FAG</t>
  </si>
  <si>
    <t>Ausgleichsgrenze nach Art. 35 Abs. 2 FAG</t>
  </si>
  <si>
    <t>oder</t>
  </si>
  <si>
    <t>gemäss Regierungsbeschluss</t>
  </si>
  <si>
    <t>3. Stufe Finanzausgleich (Übergangsregelung nach Art. 49 bis 53 FAG)</t>
  </si>
  <si>
    <t>Ressourcenausgleich</t>
  </si>
  <si>
    <t>Sonderlastenausgleich Weite</t>
  </si>
  <si>
    <t>Sonderlastenausgleich Schule</t>
  </si>
  <si>
    <t>Soziodemographischer Sonderlastenausgleich</t>
  </si>
  <si>
    <t>Sonderlastenausgleich Stadt</t>
  </si>
  <si>
    <t>Partieller Steuerfussausgleich</t>
  </si>
  <si>
    <t>Individueller Sonderlastenausgleich</t>
  </si>
  <si>
    <t>Übergangsausgleich</t>
  </si>
  <si>
    <t>Beitrag pro Einwohner/in</t>
  </si>
  <si>
    <t>Basiszahlen</t>
  </si>
  <si>
    <t>Beiträge aus dem Finanzausgleich</t>
  </si>
  <si>
    <t>Grundlagedaten</t>
  </si>
  <si>
    <t>Weite</t>
  </si>
  <si>
    <t>Schule</t>
  </si>
  <si>
    <t>Soziodemographie</t>
  </si>
  <si>
    <t>Faktoren</t>
  </si>
  <si>
    <t>Partieller Steuerfuss-ausgleich</t>
  </si>
  <si>
    <t>Individueller Sonderlasten-ausgleich</t>
  </si>
  <si>
    <t>Übergangs-ausgleich</t>
  </si>
  <si>
    <t>Nettoaufwand 
IVSE-A</t>
  </si>
  <si>
    <t>Handänderungs-steuer</t>
  </si>
  <si>
    <t>Grundstück-gewinnsteuer</t>
  </si>
  <si>
    <t>Technische Steuer-kraft pro Einwoh-ner/in im Kantons-durchschnitt</t>
  </si>
  <si>
    <t>Kürzungsfaktor für Gemeinden mit Steuerkraft über 94,5 % des Kan-tonsdurchschnitts</t>
  </si>
  <si>
    <t>Beitrag je über-durchschnittlichem Schüler der Volksschule</t>
  </si>
  <si>
    <t>Beitrag je über-durchschnittlichem Schüler der Sonderschule</t>
  </si>
  <si>
    <r>
      <t>SLW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(Str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Str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M</t>
    </r>
    <r>
      <rPr>
        <vertAlign val="subscript"/>
        <sz val="10"/>
        <rFont val="Arial"/>
        <family val="2"/>
      </rPr>
      <t>Str</t>
    </r>
  </si>
  <si>
    <r>
      <t>SoKuJ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(AufwKuJ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AufwKuJ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0.55</t>
    </r>
  </si>
  <si>
    <r>
      <t>SoSH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(AufwSH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AufwSH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0.55</t>
    </r>
  </si>
  <si>
    <r>
      <t>SoStPf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(AufwStPf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AufwStPf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0.55</t>
    </r>
  </si>
  <si>
    <r>
      <t>SLSch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(SchQ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SchQ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M</t>
    </r>
    <r>
      <rPr>
        <vertAlign val="subscript"/>
        <sz val="10"/>
        <rFont val="Arial"/>
        <family val="2"/>
      </rPr>
      <t>Sch</t>
    </r>
  </si>
  <si>
    <r>
      <t>SLSoSch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(SoSchQ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SoSchQ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M</t>
    </r>
    <r>
      <rPr>
        <vertAlign val="subscript"/>
        <sz val="10"/>
        <rFont val="Arial"/>
        <family val="2"/>
      </rPr>
      <t>SoSch</t>
    </r>
  </si>
  <si>
    <r>
      <t>SFA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(SFv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SF</t>
    </r>
    <r>
      <rPr>
        <vertAlign val="subscript"/>
        <sz val="10"/>
        <rFont val="Arial"/>
        <family val="2"/>
      </rPr>
      <t>145</t>
    </r>
    <r>
      <rPr>
        <sz val="10"/>
        <rFont val="Arial"/>
        <family val="2"/>
      </rPr>
      <t>) x 0.5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STK</t>
    </r>
    <r>
      <rPr>
        <vertAlign val="subscript"/>
        <sz val="10"/>
        <rFont val="Arial"/>
        <family val="2"/>
      </rPr>
      <t>Gemeinde</t>
    </r>
  </si>
  <si>
    <r>
      <rPr>
        <sz val="10"/>
        <rFont val="Arial"/>
        <family val="2"/>
      </rPr>
      <t>SFv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/>
    </r>
  </si>
  <si>
    <r>
      <rPr>
        <sz val="10"/>
        <rFont val="Arial"/>
        <family val="2"/>
      </rPr>
      <t>SF</t>
    </r>
    <r>
      <rPr>
        <vertAlign val="subscript"/>
        <sz val="10"/>
        <rFont val="Arial"/>
        <family val="2"/>
      </rPr>
      <t>145</t>
    </r>
    <r>
      <rPr>
        <sz val="10"/>
        <rFont val="Arial"/>
        <family val="2"/>
      </rPr>
      <t/>
    </r>
  </si>
  <si>
    <r>
      <rPr>
        <sz val="10"/>
        <rFont val="Arial"/>
        <family val="2"/>
      </rPr>
      <t>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/>
    </r>
  </si>
  <si>
    <r>
      <rPr>
        <sz val="10"/>
        <rFont val="Arial"/>
        <family val="2"/>
      </rPr>
      <t>STK</t>
    </r>
    <r>
      <rPr>
        <vertAlign val="subscript"/>
        <sz val="10"/>
        <rFont val="Arial"/>
        <family val="2"/>
      </rPr>
      <t>Gemeinde</t>
    </r>
  </si>
  <si>
    <r>
      <t>SFA</t>
    </r>
    <r>
      <rPr>
        <b/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/>
    </r>
  </si>
  <si>
    <r>
      <rPr>
        <sz val="10"/>
        <rFont val="Arial"/>
        <family val="2"/>
      </rPr>
      <t>AufwKuJ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</si>
  <si>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AufwKuJ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</si>
  <si>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BEV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</si>
  <si>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t>SoKuJ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</si>
  <si>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AufwSH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</si>
  <si>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AufwSH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</si>
  <si>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t>SoSH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</si>
  <si>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AufwStPf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</si>
  <si>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AufwStPf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</si>
  <si>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t>SoStPf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</si>
  <si>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t>SoAmbPf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</si>
  <si>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SchQ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</si>
  <si>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SchQ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</si>
  <si>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t>SLSch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</si>
  <si>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SoSchQ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</si>
  <si>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SoSchQ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</si>
  <si>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t>SLSoSch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</si>
  <si>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t>beschlossener Steuerfuss 2013</t>
  </si>
  <si>
    <t>Einwohnerzahl am 31.12.13</t>
  </si>
  <si>
    <t>Technische Steuerkraft im Durchschnitt von 2013</t>
  </si>
  <si>
    <t>Technische Steuerkraft im Durchschnitt von 2014</t>
  </si>
  <si>
    <t>Technische Steuerkraft im Durchschnitt von 2013/2014</t>
  </si>
  <si>
    <t>beschlossener Steuerfuss 2014</t>
  </si>
  <si>
    <t>Einwohnerzahl am 31.12.14</t>
  </si>
  <si>
    <t>gewichtete Strassenlänge am 31.12.14</t>
  </si>
  <si>
    <t>Schülerzahl der Volksschule am 31.12.14</t>
  </si>
  <si>
    <t>Schülerzahl der Sonderschule am 31.12.14</t>
  </si>
  <si>
    <t>Stundenleistung nach eidg. Kranken-pflege-Leistungs-verordnung</t>
  </si>
  <si>
    <t>Beitrag je KLV-Stunde</t>
  </si>
  <si>
    <t>Juni-Index 2007 der Konsumentenpreise</t>
  </si>
  <si>
    <t>Juni-Index 2013 der Konsumentenpreise</t>
  </si>
  <si>
    <t>Juni-Index 2015 der Konsumentenpreise</t>
  </si>
  <si>
    <t>Formel gemäss Anhang 2a Bst. d FAG</t>
  </si>
  <si>
    <r>
      <t>SoAmbPf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(KLV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KLV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(M</t>
    </r>
    <r>
      <rPr>
        <vertAlign val="subscript"/>
        <sz val="10"/>
        <rFont val="Arial"/>
        <family val="2"/>
      </rPr>
      <t>KLV</t>
    </r>
    <r>
      <rPr>
        <sz val="10"/>
        <rFont val="Arial"/>
        <family val="2"/>
      </rPr>
      <t xml:space="preserve"> - S</t>
    </r>
    <r>
      <rPr>
        <vertAlign val="subscript"/>
        <sz val="10"/>
        <rFont val="Arial"/>
        <family val="2"/>
      </rPr>
      <t>KLV</t>
    </r>
    <r>
      <rPr>
        <sz val="10"/>
        <rFont val="Arial"/>
        <family val="2"/>
      </rPr>
      <t>) x 0.55</t>
    </r>
  </si>
  <si>
    <r>
      <t>KLV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</si>
  <si>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t>KLV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</si>
  <si>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t>M</t>
    </r>
    <r>
      <rPr>
        <vertAlign val="subscript"/>
        <sz val="10"/>
        <rFont val="Arial"/>
        <family val="2"/>
      </rPr>
      <t>KLV</t>
    </r>
  </si>
  <si>
    <r>
      <t>S</t>
    </r>
    <r>
      <rPr>
        <vertAlign val="subscript"/>
        <sz val="10"/>
        <rFont val="Arial"/>
        <family val="2"/>
      </rPr>
      <t>KLV</t>
    </r>
  </si>
  <si>
    <t>Pauschalbetrag je KLV-Stunde</t>
  </si>
  <si>
    <t>Kürzungsbetrag je 10 Prozent Selbstbehalt</t>
  </si>
  <si>
    <t>Finanzausgleich 2016</t>
  </si>
  <si>
    <t>Zusammenzug Definitive Beiträge</t>
  </si>
  <si>
    <t>Total Definitive Beiträge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</si>
</sst>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66" formatCode="0.0%"/>
    <numFmt numFmtId="167" formatCode="_ * #,##0.000000_ ;_ * \-#,##0.000000_ ;_ * &quot;-&quot;??_ ;_ @_ "/>
    <numFmt numFmtId="168" formatCode="0.000%"/>
    <numFmt numFmtId="169" formatCode="#,##0.00_ ;\-#,##0.00\ 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0" fillId="0" borderId="12" xfId="0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5" fillId="3" borderId="6" xfId="0" applyFont="1" applyFill="1" applyBorder="1" applyAlignment="1" applyProtection="1">
      <alignment vertical="center"/>
      <protection hidden="1"/>
    </xf>
    <xf numFmtId="0" fontId="3" fillId="3" borderId="6" xfId="0" applyFont="1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5" fillId="3" borderId="2" xfId="0" applyFont="1" applyFill="1" applyBorder="1" applyAlignment="1" applyProtection="1">
      <alignment vertical="center"/>
      <protection hidden="1"/>
    </xf>
    <xf numFmtId="0" fontId="0" fillId="3" borderId="13" xfId="0" applyFill="1" applyBorder="1" applyAlignment="1" applyProtection="1">
      <alignment vertical="center"/>
      <protection hidden="1"/>
    </xf>
    <xf numFmtId="0" fontId="3" fillId="3" borderId="13" xfId="0" applyFont="1" applyFill="1" applyBorder="1" applyAlignment="1" applyProtection="1">
      <alignment vertical="center"/>
      <protection hidden="1"/>
    </xf>
    <xf numFmtId="0" fontId="3" fillId="3" borderId="13" xfId="0" applyFont="1" applyFill="1" applyBorder="1" applyAlignment="1" applyProtection="1">
      <alignment vertical="center" wrapText="1"/>
      <protection hidden="1"/>
    </xf>
    <xf numFmtId="43" fontId="0" fillId="3" borderId="0" xfId="0" applyNumberFormat="1" applyFill="1" applyProtection="1">
      <protection hidden="1"/>
    </xf>
    <xf numFmtId="0" fontId="3" fillId="3" borderId="0" xfId="0" applyFont="1" applyFill="1" applyProtection="1">
      <protection hidden="1"/>
    </xf>
    <xf numFmtId="166" fontId="0" fillId="3" borderId="0" xfId="2" applyNumberFormat="1" applyFont="1" applyFill="1" applyProtection="1">
      <protection hidden="1"/>
    </xf>
    <xf numFmtId="0" fontId="0" fillId="3" borderId="0" xfId="0" applyFill="1" applyProtection="1">
      <protection hidden="1"/>
    </xf>
    <xf numFmtId="43" fontId="0" fillId="3" borderId="0" xfId="1" applyFont="1" applyFill="1" applyProtection="1">
      <protection hidden="1"/>
    </xf>
    <xf numFmtId="10" fontId="0" fillId="3" borderId="0" xfId="2" applyNumberFormat="1" applyFont="1" applyFill="1" applyProtection="1">
      <protection hidden="1"/>
    </xf>
    <xf numFmtId="164" fontId="0" fillId="3" borderId="0" xfId="1" applyNumberFormat="1" applyFont="1" applyFill="1" applyProtection="1">
      <protection hidden="1"/>
    </xf>
    <xf numFmtId="0" fontId="5" fillId="3" borderId="10" xfId="0" applyFont="1" applyFill="1" applyBorder="1" applyAlignment="1" applyProtection="1">
      <alignment vertical="center"/>
      <protection hidden="1"/>
    </xf>
    <xf numFmtId="0" fontId="5" fillId="3" borderId="10" xfId="0" applyFont="1" applyFill="1" applyBorder="1" applyAlignment="1" applyProtection="1">
      <alignment vertical="center" wrapText="1"/>
      <protection hidden="1"/>
    </xf>
    <xf numFmtId="43" fontId="5" fillId="3" borderId="10" xfId="1" applyFont="1" applyFill="1" applyBorder="1" applyAlignment="1" applyProtection="1">
      <alignment vertical="center"/>
      <protection hidden="1"/>
    </xf>
    <xf numFmtId="0" fontId="0" fillId="3" borderId="13" xfId="0" applyFill="1" applyBorder="1" applyProtection="1">
      <protection hidden="1"/>
    </xf>
    <xf numFmtId="0" fontId="3" fillId="3" borderId="13" xfId="0" applyFont="1" applyFill="1" applyBorder="1" applyProtection="1">
      <protection hidden="1"/>
    </xf>
    <xf numFmtId="0" fontId="0" fillId="3" borderId="0" xfId="0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167" fontId="0" fillId="3" borderId="0" xfId="1" applyNumberFormat="1" applyFont="1" applyFill="1" applyAlignment="1" applyProtection="1">
      <alignment vertical="center"/>
      <protection hidden="1"/>
    </xf>
    <xf numFmtId="164" fontId="0" fillId="3" borderId="0" xfId="1" applyNumberFormat="1" applyFont="1" applyFill="1" applyAlignment="1" applyProtection="1">
      <alignment vertical="center"/>
      <protection hidden="1"/>
    </xf>
    <xf numFmtId="43" fontId="0" fillId="3" borderId="0" xfId="1" applyFont="1" applyFill="1" applyAlignment="1" applyProtection="1">
      <alignment vertical="center"/>
      <protection hidden="1"/>
    </xf>
    <xf numFmtId="10" fontId="0" fillId="3" borderId="0" xfId="2" applyNumberFormat="1" applyFont="1" applyFill="1" applyAlignment="1" applyProtection="1">
      <alignment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0" fillId="4" borderId="14" xfId="0" applyFill="1" applyBorder="1" applyAlignment="1" applyProtection="1">
      <alignment vertical="center"/>
      <protection hidden="1"/>
    </xf>
    <xf numFmtId="0" fontId="3" fillId="4" borderId="14" xfId="0" applyFont="1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167" fontId="0" fillId="4" borderId="0" xfId="1" applyNumberFormat="1" applyFont="1" applyFill="1" applyAlignment="1" applyProtection="1">
      <alignment vertical="center"/>
      <protection hidden="1"/>
    </xf>
    <xf numFmtId="164" fontId="0" fillId="4" borderId="0" xfId="1" applyNumberFormat="1" applyFont="1" applyFill="1" applyAlignment="1" applyProtection="1">
      <alignment vertical="center"/>
      <protection hidden="1"/>
    </xf>
    <xf numFmtId="0" fontId="0" fillId="4" borderId="10" xfId="0" applyFill="1" applyBorder="1" applyAlignment="1" applyProtection="1">
      <alignment vertical="center"/>
      <protection hidden="1"/>
    </xf>
    <xf numFmtId="0" fontId="3" fillId="4" borderId="10" xfId="0" applyFont="1" applyFill="1" applyBorder="1" applyAlignment="1" applyProtection="1">
      <alignment vertical="center"/>
      <protection hidden="1"/>
    </xf>
    <xf numFmtId="43" fontId="0" fillId="4" borderId="10" xfId="1" applyFont="1" applyFill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5" fillId="4" borderId="6" xfId="0" applyFont="1" applyFill="1" applyBorder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43" fontId="0" fillId="4" borderId="10" xfId="0" applyNumberFormat="1" applyFill="1" applyBorder="1" applyAlignment="1" applyProtection="1">
      <alignment vertical="center"/>
      <protection hidden="1"/>
    </xf>
    <xf numFmtId="0" fontId="5" fillId="4" borderId="13" xfId="0" applyFont="1" applyFill="1" applyBorder="1" applyAlignment="1" applyProtection="1">
      <alignment vertical="center"/>
      <protection hidden="1"/>
    </xf>
    <xf numFmtId="43" fontId="0" fillId="4" borderId="0" xfId="1" applyNumberFormat="1" applyFont="1" applyFill="1" applyAlignment="1" applyProtection="1">
      <alignment vertical="center"/>
      <protection hidden="1"/>
    </xf>
    <xf numFmtId="0" fontId="5" fillId="3" borderId="2" xfId="0" applyFont="1" applyFill="1" applyBorder="1" applyAlignment="1" applyProtection="1">
      <alignment vertical="center" wrapText="1"/>
      <protection hidden="1"/>
    </xf>
    <xf numFmtId="43" fontId="5" fillId="3" borderId="2" xfId="0" applyNumberFormat="1" applyFont="1" applyFill="1" applyBorder="1" applyAlignment="1" applyProtection="1">
      <alignment vertical="center"/>
      <protection hidden="1"/>
    </xf>
    <xf numFmtId="10" fontId="0" fillId="4" borderId="0" xfId="2" applyNumberFormat="1" applyFont="1" applyFill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center"/>
      <protection hidden="1"/>
    </xf>
    <xf numFmtId="168" fontId="0" fillId="3" borderId="0" xfId="2" applyNumberFormat="1" applyFont="1" applyFill="1" applyAlignment="1" applyProtection="1">
      <alignment vertical="center"/>
      <protection hidden="1"/>
    </xf>
    <xf numFmtId="43" fontId="0" fillId="3" borderId="0" xfId="1" applyNumberFormat="1" applyFont="1" applyFill="1" applyAlignment="1" applyProtection="1">
      <alignment vertical="center"/>
      <protection hidden="1"/>
    </xf>
    <xf numFmtId="43" fontId="5" fillId="3" borderId="1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5" borderId="13" xfId="0" applyFill="1" applyBorder="1" applyAlignment="1" applyProtection="1">
      <alignment vertical="center"/>
      <protection hidden="1"/>
    </xf>
    <xf numFmtId="0" fontId="3" fillId="5" borderId="13" xfId="0" applyFont="1" applyFill="1" applyBorder="1" applyAlignment="1" applyProtection="1">
      <alignment vertical="center"/>
      <protection hidden="1"/>
    </xf>
    <xf numFmtId="0" fontId="0" fillId="5" borderId="0" xfId="0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9" fontId="0" fillId="5" borderId="0" xfId="2" applyNumberFormat="1" applyFont="1" applyFill="1" applyAlignment="1" applyProtection="1">
      <alignment vertical="center"/>
      <protection hidden="1"/>
    </xf>
    <xf numFmtId="9" fontId="0" fillId="5" borderId="0" xfId="2" applyFont="1" applyFill="1" applyAlignment="1" applyProtection="1">
      <alignment vertical="center"/>
      <protection hidden="1"/>
    </xf>
    <xf numFmtId="164" fontId="0" fillId="5" borderId="0" xfId="1" applyNumberFormat="1" applyFont="1" applyFill="1" applyAlignment="1" applyProtection="1">
      <alignment vertical="center"/>
      <protection hidden="1"/>
    </xf>
    <xf numFmtId="43" fontId="0" fillId="5" borderId="0" xfId="1" applyNumberFormat="1" applyFont="1" applyFill="1" applyAlignment="1" applyProtection="1">
      <alignment vertical="center"/>
      <protection hidden="1"/>
    </xf>
    <xf numFmtId="0" fontId="5" fillId="5" borderId="10" xfId="0" applyFont="1" applyFill="1" applyBorder="1" applyAlignment="1" applyProtection="1">
      <alignment vertical="center"/>
      <protection hidden="1"/>
    </xf>
    <xf numFmtId="43" fontId="5" fillId="5" borderId="10" xfId="1" applyFont="1" applyFill="1" applyBorder="1" applyAlignment="1" applyProtection="1">
      <alignment vertical="center"/>
      <protection hidden="1"/>
    </xf>
    <xf numFmtId="0" fontId="8" fillId="5" borderId="10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43" fontId="5" fillId="5" borderId="10" xfId="1" applyNumberFormat="1" applyFont="1" applyFill="1" applyBorder="1" applyAlignment="1" applyProtection="1">
      <alignment horizontal="right"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5" fillId="6" borderId="10" xfId="0" applyFont="1" applyFill="1" applyBorder="1" applyAlignment="1" applyProtection="1">
      <alignment vertical="center"/>
      <protection hidden="1"/>
    </xf>
    <xf numFmtId="43" fontId="5" fillId="6" borderId="10" xfId="1" applyNumberFormat="1" applyFont="1" applyFill="1" applyBorder="1" applyAlignment="1" applyProtection="1">
      <alignment horizontal="right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43" fontId="0" fillId="3" borderId="6" xfId="0" applyNumberFormat="1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43" fontId="0" fillId="3" borderId="0" xfId="0" applyNumberFormat="1" applyFill="1" applyBorder="1" applyAlignment="1" applyProtection="1">
      <alignment vertical="center"/>
      <protection hidden="1"/>
    </xf>
    <xf numFmtId="0" fontId="0" fillId="3" borderId="18" xfId="0" applyFill="1" applyBorder="1" applyAlignment="1" applyProtection="1">
      <alignment vertical="center"/>
      <protection hidden="1"/>
    </xf>
    <xf numFmtId="43" fontId="0" fillId="3" borderId="18" xfId="0" applyNumberFormat="1" applyFill="1" applyBorder="1" applyAlignment="1" applyProtection="1">
      <alignment vertical="center"/>
      <protection hidden="1"/>
    </xf>
    <xf numFmtId="0" fontId="0" fillId="5" borderId="19" xfId="0" applyFill="1" applyBorder="1" applyAlignment="1" applyProtection="1">
      <alignment vertical="center"/>
      <protection hidden="1"/>
    </xf>
    <xf numFmtId="43" fontId="0" fillId="5" borderId="19" xfId="1" applyFont="1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43" fontId="0" fillId="5" borderId="0" xfId="1" applyFont="1" applyFill="1" applyBorder="1" applyAlignment="1" applyProtection="1">
      <alignment vertical="center"/>
      <protection hidden="1"/>
    </xf>
    <xf numFmtId="0" fontId="0" fillId="6" borderId="14" xfId="0" applyFill="1" applyBorder="1" applyAlignment="1" applyProtection="1">
      <alignment vertical="center"/>
      <protection hidden="1"/>
    </xf>
    <xf numFmtId="43" fontId="0" fillId="6" borderId="14" xfId="0" applyNumberFormat="1" applyFill="1" applyBorder="1" applyAlignment="1" applyProtection="1">
      <alignment vertical="center"/>
      <protection hidden="1"/>
    </xf>
    <xf numFmtId="0" fontId="5" fillId="2" borderId="20" xfId="0" applyFont="1" applyFill="1" applyBorder="1" applyAlignment="1" applyProtection="1">
      <alignment vertical="center"/>
      <protection hidden="1"/>
    </xf>
    <xf numFmtId="43" fontId="5" fillId="2" borderId="20" xfId="0" applyNumberFormat="1" applyFon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43" fontId="0" fillId="2" borderId="10" xfId="0" applyNumberFormat="1" applyFill="1" applyBorder="1" applyAlignment="1" applyProtection="1">
      <alignment vertical="center"/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 applyProtection="1">
      <alignment horizontal="left" vertical="center" wrapText="1"/>
      <protection hidden="1"/>
    </xf>
    <xf numFmtId="0" fontId="4" fillId="0" borderId="9" xfId="0" applyFont="1" applyFill="1" applyBorder="1" applyAlignment="1" applyProtection="1">
      <alignment textRotation="90" wrapText="1"/>
      <protection hidden="1"/>
    </xf>
    <xf numFmtId="0" fontId="4" fillId="0" borderId="10" xfId="0" applyFont="1" applyFill="1" applyBorder="1" applyAlignment="1" applyProtection="1">
      <alignment textRotation="90" wrapText="1"/>
      <protection hidden="1"/>
    </xf>
    <xf numFmtId="0" fontId="4" fillId="0" borderId="11" xfId="0" applyFont="1" applyFill="1" applyBorder="1" applyAlignment="1" applyProtection="1">
      <alignment textRotation="90" wrapText="1"/>
      <protection hidden="1"/>
    </xf>
    <xf numFmtId="0" fontId="4" fillId="0" borderId="21" xfId="0" applyFont="1" applyFill="1" applyBorder="1" applyAlignment="1" applyProtection="1">
      <alignment textRotation="90"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1" fontId="4" fillId="0" borderId="4" xfId="0" applyNumberFormat="1" applyFont="1" applyFill="1" applyBorder="1" applyAlignment="1" applyProtection="1">
      <alignment horizontal="center"/>
      <protection hidden="1"/>
    </xf>
    <xf numFmtId="0" fontId="4" fillId="2" borderId="8" xfId="0" applyFont="1" applyFill="1" applyBorder="1" applyAlignment="1" applyProtection="1">
      <alignment horizontal="left" wrapText="1"/>
      <protection hidden="1"/>
    </xf>
    <xf numFmtId="1" fontId="4" fillId="0" borderId="7" xfId="0" applyNumberFormat="1" applyFont="1" applyFill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left" wrapText="1"/>
      <protection hidden="1"/>
    </xf>
    <xf numFmtId="0" fontId="6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8" fillId="0" borderId="24" xfId="0" applyFont="1" applyBorder="1" applyAlignment="1" applyProtection="1">
      <alignment vertical="center"/>
      <protection locked="0" hidden="1"/>
    </xf>
    <xf numFmtId="169" fontId="0" fillId="0" borderId="0" xfId="0" applyNumberFormat="1" applyProtection="1">
      <protection hidden="1"/>
    </xf>
    <xf numFmtId="0" fontId="4" fillId="2" borderId="5" xfId="0" applyFont="1" applyFill="1" applyBorder="1" applyAlignment="1" applyProtection="1">
      <alignment horizontal="left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43" fontId="6" fillId="0" borderId="9" xfId="0" applyNumberFormat="1" applyFont="1" applyFill="1" applyBorder="1" applyProtection="1">
      <protection hidden="1"/>
    </xf>
    <xf numFmtId="43" fontId="6" fillId="0" borderId="10" xfId="0" applyNumberFormat="1" applyFont="1" applyFill="1" applyBorder="1" applyProtection="1">
      <protection hidden="1"/>
    </xf>
    <xf numFmtId="43" fontId="6" fillId="0" borderId="11" xfId="0" applyNumberFormat="1" applyFont="1" applyFill="1" applyBorder="1" applyProtection="1">
      <protection hidden="1"/>
    </xf>
    <xf numFmtId="43" fontId="6" fillId="0" borderId="21" xfId="0" applyNumberFormat="1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3" fontId="4" fillId="0" borderId="0" xfId="0" applyNumberFormat="1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Protection="1">
      <protection hidden="1"/>
    </xf>
    <xf numFmtId="0" fontId="4" fillId="0" borderId="4" xfId="0" applyFont="1" applyFill="1" applyBorder="1" applyProtection="1">
      <protection hidden="1"/>
    </xf>
    <xf numFmtId="0" fontId="4" fillId="0" borderId="5" xfId="0" applyFont="1" applyFill="1" applyBorder="1" applyAlignment="1" applyProtection="1">
      <alignment horizontal="left"/>
      <protection hidden="1"/>
    </xf>
    <xf numFmtId="0" fontId="4" fillId="0" borderId="9" xfId="0" applyFont="1" applyFill="1" applyBorder="1" applyAlignment="1" applyProtection="1">
      <protection hidden="1"/>
    </xf>
    <xf numFmtId="0" fontId="4" fillId="0" borderId="10" xfId="0" applyFont="1" applyFill="1" applyBorder="1" applyAlignment="1" applyProtection="1">
      <protection hidden="1"/>
    </xf>
    <xf numFmtId="4" fontId="4" fillId="0" borderId="10" xfId="1" applyNumberFormat="1" applyFont="1" applyFill="1" applyBorder="1" applyProtection="1">
      <protection hidden="1"/>
    </xf>
    <xf numFmtId="0" fontId="4" fillId="0" borderId="11" xfId="0" applyFont="1" applyFill="1" applyBorder="1" applyAlignment="1" applyProtection="1">
      <protection hidden="1"/>
    </xf>
    <xf numFmtId="4" fontId="4" fillId="0" borderId="4" xfId="1" applyNumberFormat="1" applyFont="1" applyFill="1" applyBorder="1" applyProtection="1">
      <protection hidden="1"/>
    </xf>
    <xf numFmtId="4" fontId="4" fillId="0" borderId="6" xfId="1" applyNumberFormat="1" applyFont="1" applyFill="1" applyBorder="1" applyProtection="1">
      <protection hidden="1"/>
    </xf>
    <xf numFmtId="4" fontId="4" fillId="0" borderId="21" xfId="1" applyNumberFormat="1" applyFont="1" applyFill="1" applyBorder="1" applyProtection="1">
      <protection hidden="1"/>
    </xf>
    <xf numFmtId="4" fontId="4" fillId="0" borderId="9" xfId="1" applyNumberFormat="1" applyFont="1" applyFill="1" applyBorder="1" applyProtection="1">
      <protection hidden="1"/>
    </xf>
    <xf numFmtId="0" fontId="4" fillId="0" borderId="10" xfId="0" applyFont="1" applyFill="1" applyBorder="1" applyProtection="1">
      <protection hidden="1"/>
    </xf>
    <xf numFmtId="0" fontId="4" fillId="0" borderId="11" xfId="0" applyFont="1" applyFill="1" applyBorder="1" applyProtection="1">
      <protection hidden="1"/>
    </xf>
    <xf numFmtId="4" fontId="4" fillId="0" borderId="10" xfId="1" applyNumberFormat="1" applyFont="1" applyFill="1" applyBorder="1" applyAlignment="1" applyProtection="1">
      <alignment horizontal="right" textRotation="90" wrapText="1"/>
      <protection hidden="1"/>
    </xf>
    <xf numFmtId="4" fontId="4" fillId="0" borderId="9" xfId="1" applyNumberFormat="1" applyFont="1" applyFill="1" applyBorder="1" applyAlignment="1" applyProtection="1">
      <alignment horizontal="right" textRotation="90" wrapText="1"/>
      <protection hidden="1"/>
    </xf>
    <xf numFmtId="4" fontId="4" fillId="0" borderId="21" xfId="1" applyNumberFormat="1" applyFont="1" applyFill="1" applyBorder="1" applyAlignment="1" applyProtection="1">
      <alignment horizontal="right" textRotation="90" wrapText="1"/>
      <protection hidden="1"/>
    </xf>
    <xf numFmtId="4" fontId="4" fillId="0" borderId="11" xfId="1" applyNumberFormat="1" applyFont="1" applyFill="1" applyBorder="1" applyAlignment="1" applyProtection="1">
      <alignment horizontal="right" textRotation="90" wrapText="1"/>
      <protection hidden="1"/>
    </xf>
    <xf numFmtId="0" fontId="4" fillId="0" borderId="5" xfId="0" applyFont="1" applyFill="1" applyBorder="1" applyAlignment="1" applyProtection="1">
      <alignment horizontal="left" wrapText="1"/>
      <protection hidden="1"/>
    </xf>
    <xf numFmtId="4" fontId="4" fillId="0" borderId="0" xfId="0" applyNumberFormat="1" applyFont="1" applyAlignment="1">
      <alignment vertical="top"/>
    </xf>
    <xf numFmtId="164" fontId="4" fillId="0" borderId="6" xfId="1" applyNumberFormat="1" applyFont="1" applyFill="1" applyBorder="1" applyProtection="1">
      <protection hidden="1"/>
    </xf>
    <xf numFmtId="3" fontId="4" fillId="0" borderId="6" xfId="0" applyNumberFormat="1" applyFont="1" applyFill="1" applyBorder="1" applyProtection="1">
      <protection hidden="1"/>
    </xf>
    <xf numFmtId="164" fontId="4" fillId="0" borderId="5" xfId="1" applyNumberFormat="1" applyFont="1" applyFill="1" applyBorder="1" applyProtection="1">
      <protection hidden="1"/>
    </xf>
    <xf numFmtId="9" fontId="4" fillId="0" borderId="0" xfId="0" applyNumberFormat="1" applyFont="1" applyFill="1" applyBorder="1" applyProtection="1">
      <protection hidden="1"/>
    </xf>
    <xf numFmtId="165" fontId="4" fillId="0" borderId="22" xfId="1" applyNumberFormat="1" applyFont="1" applyFill="1" applyBorder="1" applyProtection="1">
      <protection hidden="1"/>
    </xf>
    <xf numFmtId="3" fontId="4" fillId="0" borderId="4" xfId="0" applyNumberFormat="1" applyFont="1" applyFill="1" applyBorder="1" applyProtection="1">
      <protection hidden="1"/>
    </xf>
    <xf numFmtId="43" fontId="4" fillId="0" borderId="4" xfId="1" applyFont="1" applyFill="1" applyBorder="1" applyProtection="1">
      <protection hidden="1"/>
    </xf>
    <xf numFmtId="43" fontId="4" fillId="0" borderId="6" xfId="1" applyFont="1" applyFill="1" applyBorder="1" applyProtection="1">
      <protection hidden="1"/>
    </xf>
    <xf numFmtId="43" fontId="4" fillId="0" borderId="5" xfId="1" applyFont="1" applyFill="1" applyBorder="1" applyProtection="1">
      <protection hidden="1"/>
    </xf>
    <xf numFmtId="43" fontId="4" fillId="0" borderId="23" xfId="1" applyFont="1" applyFill="1" applyBorder="1" applyProtection="1">
      <protection hidden="1"/>
    </xf>
    <xf numFmtId="43" fontId="4" fillId="0" borderId="0" xfId="1" applyFont="1" applyFill="1" applyBorder="1" applyProtection="1">
      <protection hidden="1"/>
    </xf>
    <xf numFmtId="43" fontId="4" fillId="0" borderId="22" xfId="1" applyFont="1" applyFill="1" applyBorder="1" applyProtection="1">
      <protection hidden="1"/>
    </xf>
    <xf numFmtId="4" fontId="4" fillId="0" borderId="4" xfId="0" applyNumberFormat="1" applyFont="1" applyFill="1" applyBorder="1" applyProtection="1">
      <protection hidden="1"/>
    </xf>
    <xf numFmtId="4" fontId="4" fillId="0" borderId="6" xfId="0" applyNumberFormat="1" applyFont="1" applyFill="1" applyBorder="1" applyProtection="1">
      <protection hidden="1"/>
    </xf>
    <xf numFmtId="4" fontId="4" fillId="0" borderId="5" xfId="0" applyNumberFormat="1" applyFont="1" applyFill="1" applyBorder="1" applyProtection="1">
      <protection hidden="1"/>
    </xf>
    <xf numFmtId="166" fontId="4" fillId="0" borderId="4" xfId="2" applyNumberFormat="1" applyFont="1" applyFill="1" applyBorder="1" applyProtection="1">
      <protection hidden="1"/>
    </xf>
    <xf numFmtId="10" fontId="4" fillId="0" borderId="5" xfId="2" applyNumberFormat="1" applyFont="1" applyFill="1" applyBorder="1" applyProtection="1">
      <protection hidden="1"/>
    </xf>
    <xf numFmtId="166" fontId="4" fillId="0" borderId="6" xfId="2" applyNumberFormat="1" applyFont="1" applyFill="1" applyBorder="1" applyProtection="1">
      <protection hidden="1"/>
    </xf>
    <xf numFmtId="166" fontId="4" fillId="0" borderId="5" xfId="2" applyNumberFormat="1" applyFont="1" applyFill="1" applyBorder="1" applyProtection="1">
      <protection hidden="1"/>
    </xf>
    <xf numFmtId="0" fontId="4" fillId="0" borderId="8" xfId="0" applyFont="1" applyFill="1" applyBorder="1" applyAlignment="1" applyProtection="1">
      <alignment horizontal="left" wrapText="1"/>
      <protection hidden="1"/>
    </xf>
    <xf numFmtId="164" fontId="4" fillId="0" borderId="0" xfId="1" applyNumberFormat="1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164" fontId="4" fillId="0" borderId="8" xfId="1" applyNumberFormat="1" applyFont="1" applyFill="1" applyBorder="1" applyProtection="1">
      <protection hidden="1"/>
    </xf>
    <xf numFmtId="165" fontId="4" fillId="0" borderId="23" xfId="1" applyNumberFormat="1" applyFont="1" applyFill="1" applyBorder="1" applyProtection="1">
      <protection hidden="1"/>
    </xf>
    <xf numFmtId="3" fontId="4" fillId="0" borderId="7" xfId="0" applyNumberFormat="1" applyFont="1" applyFill="1" applyBorder="1" applyProtection="1">
      <protection hidden="1"/>
    </xf>
    <xf numFmtId="43" fontId="4" fillId="0" borderId="7" xfId="1" applyFont="1" applyFill="1" applyBorder="1" applyProtection="1">
      <protection hidden="1"/>
    </xf>
    <xf numFmtId="43" fontId="4" fillId="0" borderId="8" xfId="1" applyFont="1" applyFill="1" applyBorder="1" applyProtection="1">
      <protection hidden="1"/>
    </xf>
    <xf numFmtId="4" fontId="4" fillId="0" borderId="7" xfId="0" applyNumberFormat="1" applyFont="1" applyFill="1" applyBorder="1" applyProtection="1">
      <protection hidden="1"/>
    </xf>
    <xf numFmtId="4" fontId="4" fillId="0" borderId="0" xfId="0" applyNumberFormat="1" applyFont="1" applyFill="1" applyBorder="1" applyProtection="1">
      <protection hidden="1"/>
    </xf>
    <xf numFmtId="4" fontId="4" fillId="0" borderId="0" xfId="1" applyNumberFormat="1" applyFont="1" applyFill="1" applyBorder="1" applyProtection="1">
      <protection hidden="1"/>
    </xf>
    <xf numFmtId="4" fontId="4" fillId="0" borderId="8" xfId="0" applyNumberFormat="1" applyFont="1" applyFill="1" applyBorder="1" applyProtection="1">
      <protection hidden="1"/>
    </xf>
    <xf numFmtId="166" fontId="4" fillId="0" borderId="7" xfId="2" applyNumberFormat="1" applyFont="1" applyFill="1" applyBorder="1" applyProtection="1">
      <protection hidden="1"/>
    </xf>
    <xf numFmtId="10" fontId="4" fillId="0" borderId="8" xfId="2" applyNumberFormat="1" applyFont="1" applyFill="1" applyBorder="1" applyProtection="1">
      <protection hidden="1"/>
    </xf>
    <xf numFmtId="0" fontId="4" fillId="0" borderId="7" xfId="0" applyFont="1" applyFill="1" applyBorder="1" applyProtection="1">
      <protection hidden="1"/>
    </xf>
    <xf numFmtId="0" fontId="4" fillId="0" borderId="8" xfId="0" applyFont="1" applyFill="1" applyBorder="1" applyProtection="1">
      <protection hidden="1"/>
    </xf>
    <xf numFmtId="164" fontId="4" fillId="0" borderId="2" xfId="1" applyNumberFormat="1" applyFont="1" applyFill="1" applyBorder="1" applyProtection="1">
      <protection hidden="1"/>
    </xf>
    <xf numFmtId="0" fontId="6" fillId="0" borderId="9" xfId="0" applyFont="1" applyFill="1" applyBorder="1" applyProtection="1">
      <protection hidden="1"/>
    </xf>
    <xf numFmtId="0" fontId="6" fillId="0" borderId="11" xfId="0" applyFont="1" applyFill="1" applyBorder="1" applyAlignment="1" applyProtection="1">
      <alignment horizontal="left"/>
      <protection hidden="1"/>
    </xf>
    <xf numFmtId="164" fontId="6" fillId="0" borderId="9" xfId="1" applyNumberFormat="1" applyFont="1" applyFill="1" applyBorder="1" applyProtection="1">
      <protection hidden="1"/>
    </xf>
    <xf numFmtId="164" fontId="6" fillId="0" borderId="10" xfId="1" applyNumberFormat="1" applyFont="1" applyFill="1" applyBorder="1" applyProtection="1">
      <protection hidden="1"/>
    </xf>
    <xf numFmtId="0" fontId="6" fillId="0" borderId="10" xfId="0" applyFont="1" applyFill="1" applyBorder="1" applyProtection="1">
      <protection hidden="1"/>
    </xf>
    <xf numFmtId="164" fontId="6" fillId="0" borderId="10" xfId="0" applyNumberFormat="1" applyFont="1" applyFill="1" applyBorder="1" applyProtection="1">
      <protection hidden="1"/>
    </xf>
    <xf numFmtId="165" fontId="6" fillId="0" borderId="21" xfId="0" applyNumberFormat="1" applyFont="1" applyFill="1" applyBorder="1" applyProtection="1">
      <protection hidden="1"/>
    </xf>
    <xf numFmtId="164" fontId="6" fillId="0" borderId="9" xfId="0" applyNumberFormat="1" applyFont="1" applyFill="1" applyBorder="1" applyProtection="1">
      <protection hidden="1"/>
    </xf>
    <xf numFmtId="164" fontId="6" fillId="0" borderId="11" xfId="0" applyNumberFormat="1" applyFont="1" applyFill="1" applyBorder="1" applyProtection="1">
      <protection hidden="1"/>
    </xf>
    <xf numFmtId="0" fontId="6" fillId="0" borderId="11" xfId="0" applyFont="1" applyFill="1" applyBorder="1" applyProtection="1">
      <protection hidden="1"/>
    </xf>
    <xf numFmtId="0" fontId="0" fillId="4" borderId="2" xfId="0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vertical="center"/>
      <protection hidden="1"/>
    </xf>
    <xf numFmtId="164" fontId="0" fillId="4" borderId="2" xfId="1" applyNumberFormat="1" applyFont="1" applyFill="1" applyBorder="1" applyAlignment="1" applyProtection="1">
      <alignment vertical="center"/>
      <protection hidden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1"/>
  <sheetViews>
    <sheetView tabSelected="1" workbookViewId="0">
      <selection activeCell="C5" sqref="C5"/>
    </sheetView>
  </sheetViews>
  <sheetFormatPr baseColWidth="10" defaultColWidth="0" defaultRowHeight="12.75" zeroHeight="1" x14ac:dyDescent="0.2"/>
  <cols>
    <col min="1" max="1" width="1.85546875" style="7" customWidth="1"/>
    <col min="2" max="2" width="115.42578125" style="7" customWidth="1"/>
    <col min="3" max="3" width="65.140625" style="7" bestFit="1" customWidth="1"/>
    <col min="4" max="4" width="5.42578125" style="7" customWidth="1"/>
    <col min="5" max="5" width="16.140625" style="7" customWidth="1"/>
    <col min="6" max="6" width="1.85546875" style="7" customWidth="1"/>
    <col min="7" max="20" width="11.42578125" style="7" hidden="1" customWidth="1"/>
    <col min="21" max="21" width="17.85546875" style="59" hidden="1" customWidth="1"/>
    <col min="22" max="16384" width="11.42578125" style="7" hidden="1"/>
  </cols>
  <sheetData>
    <row r="1" spans="1:21" s="1" customFormat="1" ht="15" x14ac:dyDescent="0.2">
      <c r="B1" s="2" t="s">
        <v>100</v>
      </c>
      <c r="C1" s="2"/>
      <c r="D1" s="2"/>
      <c r="U1" s="118" t="s">
        <v>45</v>
      </c>
    </row>
    <row r="2" spans="1:21" s="1" customFormat="1" ht="27.75" customHeight="1" x14ac:dyDescent="0.2">
      <c r="B2" s="4" t="s">
        <v>101</v>
      </c>
      <c r="C2" s="4"/>
      <c r="D2" s="4"/>
      <c r="U2" s="111" t="s">
        <v>63</v>
      </c>
    </row>
    <row r="3" spans="1:21" s="1" customFormat="1" ht="35.25" customHeight="1" x14ac:dyDescent="0.2">
      <c r="B3" s="5" t="str">
        <f>CONCATENATE("Definitive Finanzausgleichsbeiträge ",$C$7)</f>
        <v>Definitive Finanzausgleichsbeiträge 2016</v>
      </c>
      <c r="C3" s="5"/>
      <c r="D3" s="5"/>
      <c r="U3" s="113" t="s">
        <v>96</v>
      </c>
    </row>
    <row r="4" spans="1:21" s="1" customFormat="1" x14ac:dyDescent="0.2">
      <c r="U4" s="113" t="s">
        <v>38</v>
      </c>
    </row>
    <row r="5" spans="1:21" s="1" customFormat="1" ht="15.75" x14ac:dyDescent="0.2">
      <c r="B5" s="4" t="s">
        <v>102</v>
      </c>
      <c r="C5" s="116"/>
      <c r="S5" s="3"/>
      <c r="T5" s="3"/>
      <c r="U5" s="111" t="s">
        <v>57</v>
      </c>
    </row>
    <row r="6" spans="1:21" s="1" customFormat="1" x14ac:dyDescent="0.2">
      <c r="B6" s="4"/>
      <c r="S6" s="3"/>
      <c r="T6" s="3"/>
      <c r="U6" s="113" t="s">
        <v>40</v>
      </c>
    </row>
    <row r="7" spans="1:21" s="1" customFormat="1" ht="15.75" x14ac:dyDescent="0.2">
      <c r="B7" s="4" t="s">
        <v>103</v>
      </c>
      <c r="C7" s="119">
        <v>2016</v>
      </c>
      <c r="S7" s="3"/>
      <c r="T7" s="3"/>
      <c r="U7" s="113" t="s">
        <v>66</v>
      </c>
    </row>
    <row r="8" spans="1:21" ht="15" customHeight="1" thickBot="1" x14ac:dyDescent="0.25">
      <c r="G8" s="117"/>
      <c r="U8" s="111" t="s">
        <v>29</v>
      </c>
    </row>
    <row r="9" spans="1:21" s="10" customFormat="1" ht="22.5" customHeight="1" thickBot="1" x14ac:dyDescent="0.25">
      <c r="A9" s="8"/>
      <c r="B9" s="9" t="s">
        <v>104</v>
      </c>
      <c r="C9" s="8"/>
      <c r="D9" s="8"/>
      <c r="E9" s="8"/>
      <c r="F9" s="8"/>
      <c r="U9" s="111" t="s">
        <v>39</v>
      </c>
    </row>
    <row r="10" spans="1:21" ht="5.25" customHeight="1" x14ac:dyDescent="0.25">
      <c r="A10" s="11"/>
      <c r="B10" s="12"/>
      <c r="C10" s="11"/>
      <c r="D10" s="11"/>
      <c r="E10" s="11"/>
      <c r="F10" s="11"/>
      <c r="U10" s="113" t="s">
        <v>52</v>
      </c>
    </row>
    <row r="11" spans="1:21" s="1" customFormat="1" ht="22.5" customHeight="1" x14ac:dyDescent="0.2">
      <c r="A11" s="13"/>
      <c r="B11" s="14" t="s">
        <v>105</v>
      </c>
      <c r="C11" s="15"/>
      <c r="D11" s="15"/>
      <c r="E11" s="13"/>
      <c r="F11" s="13"/>
      <c r="U11" s="111" t="s">
        <v>81</v>
      </c>
    </row>
    <row r="12" spans="1:21" s="1" customFormat="1" ht="22.5" customHeight="1" x14ac:dyDescent="0.2">
      <c r="A12" s="16"/>
      <c r="B12" s="17" t="str">
        <f>CONCATENATE("Politische Gemeinde ",$C$5," ",$C$7,"; Definitive Daten")</f>
        <v>Politische Gemeinde  2016; Definitive Daten</v>
      </c>
      <c r="C12" s="16"/>
      <c r="D12" s="16"/>
      <c r="E12" s="16"/>
      <c r="F12" s="16"/>
      <c r="U12" s="111" t="s">
        <v>89</v>
      </c>
    </row>
    <row r="13" spans="1:21" s="1" customFormat="1" ht="34.5" customHeight="1" x14ac:dyDescent="0.2">
      <c r="A13" s="18"/>
      <c r="B13" s="19" t="s">
        <v>106</v>
      </c>
      <c r="C13" s="20" t="s">
        <v>107</v>
      </c>
      <c r="D13" s="20"/>
      <c r="E13" s="18"/>
      <c r="F13" s="18"/>
      <c r="U13" s="111" t="s">
        <v>41</v>
      </c>
    </row>
    <row r="14" spans="1:21" ht="17.25" customHeight="1" x14ac:dyDescent="0.2">
      <c r="A14" s="21"/>
      <c r="B14" s="22" t="s">
        <v>108</v>
      </c>
      <c r="C14" s="22" t="s">
        <v>109</v>
      </c>
      <c r="D14" s="22" t="s">
        <v>110</v>
      </c>
      <c r="E14" s="23" t="e">
        <f>VLOOKUP($C$5,Basis!$B$5:$BC$81,49,FALSE)</f>
        <v>#N/A</v>
      </c>
      <c r="F14" s="21"/>
      <c r="U14" s="111" t="s">
        <v>75</v>
      </c>
    </row>
    <row r="15" spans="1:21" ht="17.25" customHeight="1" x14ac:dyDescent="0.3">
      <c r="A15" s="24"/>
      <c r="B15" s="22" t="str">
        <f>CONCATENATE("Kantonaler Durchschnitt der technischen Steuerkraft der Jahre ",$C$7-3," und ",$C$7-2)</f>
        <v>Kantonaler Durchschnitt der technischen Steuerkraft der Jahre 2013 und 2014</v>
      </c>
      <c r="C15" s="22" t="s">
        <v>111</v>
      </c>
      <c r="D15" s="22" t="s">
        <v>112</v>
      </c>
      <c r="E15" s="25" t="e">
        <f>VLOOKUP($C$5,Basis!$B$5:$BC$81,48,FALSE)</f>
        <v>#N/A</v>
      </c>
      <c r="F15" s="24"/>
      <c r="U15" s="113" t="s">
        <v>32</v>
      </c>
    </row>
    <row r="16" spans="1:21" ht="17.25" customHeight="1" x14ac:dyDescent="0.3">
      <c r="A16" s="24"/>
      <c r="B16" s="22" t="str">
        <f>CONCATENATE("Durchschnitt der technischen Steuerkraft der Gemeinde ",$C$5," in den Jahren ",$C$7-3," und ",$C$7-2)</f>
        <v>Durchschnitt der technischen Steuerkraft der Gemeinde  in den Jahren 2013 und 2014</v>
      </c>
      <c r="C16" s="22" t="s">
        <v>113</v>
      </c>
      <c r="D16" s="22" t="s">
        <v>112</v>
      </c>
      <c r="E16" s="25" t="e">
        <f>VLOOKUP($C$5,Basis!$B$5:$BC$81,47,FALSE)</f>
        <v>#N/A</v>
      </c>
      <c r="F16" s="24"/>
      <c r="U16" s="113" t="s">
        <v>46</v>
      </c>
    </row>
    <row r="17" spans="1:21" ht="17.25" customHeight="1" x14ac:dyDescent="0.3">
      <c r="A17" s="24"/>
      <c r="B17" s="22" t="str">
        <f>CONCATENATE("Durchschnittlicher Steuerfuss der Gemeinde ",$C$5," in den Jahren ",$C$7-3," und ",$C$7-2)</f>
        <v>Durchschnittlicher Steuerfuss der Gemeinde  in den Jahren 2013 und 2014</v>
      </c>
      <c r="C17" s="22" t="s">
        <v>114</v>
      </c>
      <c r="D17" s="22" t="s">
        <v>110</v>
      </c>
      <c r="E17" s="26" t="e">
        <f>AVERAGE(VLOOKUP($C$5,Basis!$B$5:$BC$81,11,FALSE),VLOOKUP($C$5,Basis!$B$5:$BC$81,12,FALSE))</f>
        <v>#N/A</v>
      </c>
      <c r="F17" s="24"/>
      <c r="U17" s="113" t="s">
        <v>72</v>
      </c>
    </row>
    <row r="18" spans="1:21" ht="17.25" customHeight="1" x14ac:dyDescent="0.3">
      <c r="A18" s="24"/>
      <c r="B18" s="22" t="str">
        <f>CONCATENATE("Einwohnerzahl der Gemeinde ",$C$5," Ende ",$C$7-3)</f>
        <v>Einwohnerzahl der Gemeinde  Ende 2013</v>
      </c>
      <c r="C18" s="22" t="s">
        <v>115</v>
      </c>
      <c r="D18" s="22" t="s">
        <v>116</v>
      </c>
      <c r="E18" s="27" t="e">
        <f>VLOOKUP($C$5,Basis!$B$5:$BC$81,13,FALSE)</f>
        <v>#N/A</v>
      </c>
      <c r="F18" s="24"/>
      <c r="U18" s="113" t="s">
        <v>88</v>
      </c>
    </row>
    <row r="19" spans="1:21" s="1" customFormat="1" ht="22.5" customHeight="1" x14ac:dyDescent="0.2">
      <c r="A19" s="28"/>
      <c r="B19" s="29" t="str">
        <f>CONCATENATE("Definitiver Beitrag an die Gemeinde ",$C$5," aus dem Ressourcenausgleich ",$C$7)</f>
        <v>Definitiver Beitrag an die Gemeinde  aus dem Ressourcenausgleich 2016</v>
      </c>
      <c r="C19" s="28" t="s">
        <v>117</v>
      </c>
      <c r="D19" s="28" t="s">
        <v>112</v>
      </c>
      <c r="E19" s="30" t="e">
        <f>IF(E16&lt;E14*E15,ROUND((E14*E15-E16)*(0.83*E17+0.17*150%)*E18,-2),0)</f>
        <v>#N/A</v>
      </c>
      <c r="F19" s="28"/>
      <c r="U19" s="113" t="s">
        <v>60</v>
      </c>
    </row>
    <row r="20" spans="1:21" ht="5.25" customHeight="1" x14ac:dyDescent="0.2">
      <c r="U20" s="113" t="s">
        <v>98</v>
      </c>
    </row>
    <row r="21" spans="1:21" s="4" customFormat="1" ht="22.5" customHeight="1" x14ac:dyDescent="0.2">
      <c r="A21" s="14"/>
      <c r="B21" s="14" t="s">
        <v>118</v>
      </c>
      <c r="C21" s="14"/>
      <c r="D21" s="14"/>
      <c r="E21" s="14"/>
      <c r="F21" s="14"/>
      <c r="U21" s="113" t="s">
        <v>50</v>
      </c>
    </row>
    <row r="22" spans="1:21" s="4" customFormat="1" ht="22.5" customHeight="1" x14ac:dyDescent="0.2">
      <c r="A22" s="17"/>
      <c r="B22" s="17" t="str">
        <f>CONCATENATE("Politische Gemeinde ",$C$5," ",$C$7,"; Definitive Daten")</f>
        <v>Politische Gemeinde  2016; Definitive Daten</v>
      </c>
      <c r="C22" s="17"/>
      <c r="D22" s="17"/>
      <c r="E22" s="17"/>
      <c r="F22" s="17"/>
      <c r="U22" s="111" t="s">
        <v>27</v>
      </c>
    </row>
    <row r="23" spans="1:21" ht="22.5" customHeight="1" x14ac:dyDescent="0.3">
      <c r="A23" s="31"/>
      <c r="B23" s="32" t="s">
        <v>119</v>
      </c>
      <c r="C23" s="32" t="s">
        <v>182</v>
      </c>
      <c r="D23" s="31"/>
      <c r="E23" s="31"/>
      <c r="F23" s="31"/>
      <c r="U23" s="113" t="s">
        <v>68</v>
      </c>
    </row>
    <row r="24" spans="1:21" s="1" customFormat="1" ht="17.25" customHeight="1" x14ac:dyDescent="0.2">
      <c r="A24" s="33"/>
      <c r="B24" s="33" t="str">
        <f>CONCATENATE("Gewichtete Strassenlänge je Einwohner/in der Gemeinde ",$C$5," per Ende ",$C$7-2)</f>
        <v>Gewichtete Strassenlänge je Einwohner/in der Gemeinde  per Ende 2014</v>
      </c>
      <c r="C24" s="34" t="s">
        <v>120</v>
      </c>
      <c r="D24" s="34" t="s">
        <v>121</v>
      </c>
      <c r="E24" s="35" t="e">
        <f>VLOOKUP($C$5,Basis!$B$5:$BC$81,15,FALSE)/VLOOKUP($C$5,Basis!$B$5:$BC$81,14,FALSE)</f>
        <v>#N/A</v>
      </c>
      <c r="F24" s="33"/>
      <c r="U24" s="111" t="s">
        <v>95</v>
      </c>
    </row>
    <row r="25" spans="1:21" s="1" customFormat="1" ht="17.25" customHeight="1" x14ac:dyDescent="0.2">
      <c r="A25" s="33"/>
      <c r="B25" s="33" t="str">
        <f>CONCATENATE("Gewichtete Strassenlänge je Einwohner/in im kantonalen Durchschnitt per Ende ",$C$7-2)</f>
        <v>Gewichtete Strassenlänge je Einwohner/in im kantonalen Durchschnitt per Ende 2014</v>
      </c>
      <c r="C25" s="34" t="s">
        <v>122</v>
      </c>
      <c r="D25" s="34" t="s">
        <v>121</v>
      </c>
      <c r="E25" s="35">
        <f>Basis!$P$82/Basis!$O$82</f>
        <v>0.24984988503985273</v>
      </c>
      <c r="F25" s="33"/>
      <c r="U25" s="111" t="s">
        <v>51</v>
      </c>
    </row>
    <row r="26" spans="1:21" s="1" customFormat="1" ht="17.25" customHeight="1" x14ac:dyDescent="0.2">
      <c r="A26" s="33"/>
      <c r="B26" s="34" t="str">
        <f>CONCATENATE("Einwohnerzahl der Gemeinde ",$C$5," Ende ",$C$7-2)</f>
        <v>Einwohnerzahl der Gemeinde  Ende 2014</v>
      </c>
      <c r="C26" s="34" t="s">
        <v>115</v>
      </c>
      <c r="D26" s="34" t="s">
        <v>116</v>
      </c>
      <c r="E26" s="36" t="e">
        <f>VLOOKUP($C$5,Basis!$B$5:$BC$81,14,FALSE)</f>
        <v>#N/A</v>
      </c>
      <c r="F26" s="33"/>
      <c r="U26" s="113" t="s">
        <v>24</v>
      </c>
    </row>
    <row r="27" spans="1:21" s="1" customFormat="1" ht="17.25" customHeight="1" x14ac:dyDescent="0.2">
      <c r="A27" s="33"/>
      <c r="B27" s="34" t="s">
        <v>123</v>
      </c>
      <c r="C27" s="34" t="s">
        <v>124</v>
      </c>
      <c r="D27" s="34" t="s">
        <v>112</v>
      </c>
      <c r="E27" s="37" t="e">
        <f>VLOOKUP($C$5,Basis!$B$5:$BC$81,51,FALSE)</f>
        <v>#N/A</v>
      </c>
      <c r="F27" s="33"/>
      <c r="U27" s="113" t="s">
        <v>80</v>
      </c>
    </row>
    <row r="28" spans="1:21" s="1" customFormat="1" ht="17.25" customHeight="1" x14ac:dyDescent="0.2">
      <c r="A28" s="33"/>
      <c r="B28" s="34" t="s">
        <v>125</v>
      </c>
      <c r="C28" s="34"/>
      <c r="D28" s="34" t="s">
        <v>110</v>
      </c>
      <c r="E28" s="38" t="e">
        <f>VLOOKUP($C$5,Basis!$B$5:$BC$81,50,FALSE)</f>
        <v>#N/A</v>
      </c>
      <c r="F28" s="33"/>
      <c r="U28" s="111" t="s">
        <v>85</v>
      </c>
    </row>
    <row r="29" spans="1:21" s="4" customFormat="1" ht="22.5" customHeight="1" x14ac:dyDescent="0.2">
      <c r="A29" s="28"/>
      <c r="B29" s="29" t="str">
        <f>CONCATENATE("Definitiver Beitrag an die Gemeinde ",$C$5," aus dem Sonderlastenausgleich Weite ",$C$7)</f>
        <v>Definitiver Beitrag an die Gemeinde  aus dem Sonderlastenausgleich Weite 2016</v>
      </c>
      <c r="C29" s="28" t="s">
        <v>126</v>
      </c>
      <c r="D29" s="28" t="e">
        <f>IF(E29&gt;0,"Fr.","")</f>
        <v>#N/A</v>
      </c>
      <c r="E29" s="30" t="e">
        <f>IF(E24&gt;E25,ROUND((E24-E25)*E26*E27+E28*((E24-E25)*E26*E27),-2),0)</f>
        <v>#N/A</v>
      </c>
      <c r="F29" s="28"/>
      <c r="U29" s="111" t="s">
        <v>67</v>
      </c>
    </row>
    <row r="30" spans="1:21" ht="4.5" customHeight="1" x14ac:dyDescent="0.2">
      <c r="U30" s="113" t="s">
        <v>84</v>
      </c>
    </row>
    <row r="31" spans="1:21" s="1" customFormat="1" ht="22.5" customHeight="1" x14ac:dyDescent="0.2">
      <c r="A31" s="14"/>
      <c r="B31" s="14" t="s">
        <v>127</v>
      </c>
      <c r="C31" s="14"/>
      <c r="D31" s="14"/>
      <c r="E31" s="14"/>
      <c r="F31" s="14"/>
      <c r="U31" s="111" t="s">
        <v>77</v>
      </c>
    </row>
    <row r="32" spans="1:21" s="1" customFormat="1" ht="22.5" customHeight="1" x14ac:dyDescent="0.2">
      <c r="A32" s="17"/>
      <c r="B32" s="17" t="str">
        <f>CONCATENATE("Politische Gemeinde ",$C$5," ",$C$7,"; Definitive Daten")</f>
        <v>Politische Gemeinde  2016; Definitive Daten</v>
      </c>
      <c r="C32" s="17"/>
      <c r="D32" s="17"/>
      <c r="E32" s="17"/>
      <c r="F32" s="17"/>
      <c r="U32" s="113" t="s">
        <v>82</v>
      </c>
    </row>
    <row r="33" spans="1:21" s="4" customFormat="1" ht="22.5" customHeight="1" x14ac:dyDescent="0.2">
      <c r="A33" s="39"/>
      <c r="B33" s="39" t="s">
        <v>128</v>
      </c>
      <c r="C33" s="39"/>
      <c r="D33" s="39"/>
      <c r="E33" s="39"/>
      <c r="F33" s="39"/>
      <c r="U33" s="113" t="s">
        <v>44</v>
      </c>
    </row>
    <row r="34" spans="1:21" s="1" customFormat="1" ht="22.5" customHeight="1" x14ac:dyDescent="0.2">
      <c r="A34" s="40"/>
      <c r="B34" s="41" t="s">
        <v>129</v>
      </c>
      <c r="C34" s="41" t="s">
        <v>183</v>
      </c>
      <c r="D34" s="40"/>
      <c r="E34" s="40"/>
      <c r="F34" s="40"/>
      <c r="U34" s="111" t="s">
        <v>59</v>
      </c>
    </row>
    <row r="35" spans="1:21" s="1" customFormat="1" ht="17.25" customHeight="1" x14ac:dyDescent="0.2">
      <c r="A35" s="42"/>
      <c r="B35" s="43" t="str">
        <f>CONCATENATE("Aufwand der Gemeinde ",$C$5," für die Unterbringung von Kindern und Jugendlichen je Einwohner/in im Jahr ",$C$7-2)</f>
        <v>Aufwand der Gemeinde  für die Unterbringung von Kindern und Jugendlichen je Einwohner/in im Jahr 2014</v>
      </c>
      <c r="C35" s="43" t="s">
        <v>194</v>
      </c>
      <c r="D35" s="43" t="s">
        <v>112</v>
      </c>
      <c r="E35" s="44" t="e">
        <f>(VLOOKUP($C$5,Basis!$B$5:$BC$81,18,FALSE)+VLOOKUP($C$5,Basis!$B$5:$BC$81,19,FALSE)+VLOOKUP($C$5,Basis!$B$5:$BC$81,20,FALSE))/VLOOKUP($C$5,Basis!$B$5:$BC$81,14,FALSE)</f>
        <v>#N/A</v>
      </c>
      <c r="F35" s="42"/>
      <c r="U35" s="113" t="s">
        <v>26</v>
      </c>
    </row>
    <row r="36" spans="1:21" s="1" customFormat="1" ht="17.25" customHeight="1" x14ac:dyDescent="0.2">
      <c r="A36" s="42"/>
      <c r="B36" s="43" t="str">
        <f>CONCATENATE("Aufwand für die Unterbringung von Kindern und Jugendlichen je Einwohner/in im kantonalen Durchschnitt im Jahr ",$C$7-2)</f>
        <v>Aufwand für die Unterbringung von Kindern und Jugendlichen je Einwohner/in im kantonalen Durchschnitt im Jahr 2014</v>
      </c>
      <c r="C36" s="43" t="s">
        <v>195</v>
      </c>
      <c r="D36" s="43" t="s">
        <v>112</v>
      </c>
      <c r="E36" s="44">
        <f>SUM(Basis!$S$82:$U$82)/Basis!$O$82</f>
        <v>33.691657120268488</v>
      </c>
      <c r="F36" s="42"/>
      <c r="U36" s="111" t="s">
        <v>83</v>
      </c>
    </row>
    <row r="37" spans="1:21" s="1" customFormat="1" ht="17.25" customHeight="1" x14ac:dyDescent="0.2">
      <c r="A37" s="42"/>
      <c r="B37" s="43" t="str">
        <f>CONCATENATE("Einwohnerzahl der Gemeinde ",$C$5," Ende ",$C$7-2)</f>
        <v>Einwohnerzahl der Gemeinde  Ende 2014</v>
      </c>
      <c r="C37" s="43" t="s">
        <v>196</v>
      </c>
      <c r="D37" s="43" t="s">
        <v>116</v>
      </c>
      <c r="E37" s="45" t="e">
        <f>VLOOKUP($C$5,Basis!$B$5:$BC$81,14,FALSE)</f>
        <v>#N/A</v>
      </c>
      <c r="F37" s="42"/>
      <c r="U37" s="111" t="s">
        <v>25</v>
      </c>
    </row>
    <row r="38" spans="1:21" s="1" customFormat="1" ht="22.5" customHeight="1" x14ac:dyDescent="0.2">
      <c r="A38" s="46"/>
      <c r="B38" s="46" t="str">
        <f>CONCATENATE("Definitiver Beitrag an die Kosten für die Unterbringung von Kindern und Jugendlichen ",$C$7," an die Gemeinde ",$C$5)</f>
        <v xml:space="preserve">Definitiver Beitrag an die Kosten für die Unterbringung von Kindern und Jugendlichen 2016 an die Gemeinde </v>
      </c>
      <c r="C38" s="47" t="s">
        <v>197</v>
      </c>
      <c r="D38" s="46" t="e">
        <f>IF(E38&gt;0,"Fr.","")</f>
        <v>#N/A</v>
      </c>
      <c r="E38" s="48" t="e">
        <f>IF(E35&gt;E36,(E35-E36)*E37*0.55,0)</f>
        <v>#N/A</v>
      </c>
      <c r="F38" s="46"/>
      <c r="U38" s="111" t="s">
        <v>79</v>
      </c>
    </row>
    <row r="39" spans="1:21" ht="5.25" customHeight="1" x14ac:dyDescent="0.2">
      <c r="A39" s="49"/>
      <c r="B39" s="49"/>
      <c r="C39" s="49"/>
      <c r="D39" s="49"/>
      <c r="E39" s="49"/>
      <c r="F39" s="49"/>
      <c r="U39" s="113" t="s">
        <v>74</v>
      </c>
    </row>
    <row r="40" spans="1:21" s="4" customFormat="1" ht="17.25" customHeight="1" x14ac:dyDescent="0.2">
      <c r="A40" s="50"/>
      <c r="B40" s="50" t="s">
        <v>130</v>
      </c>
      <c r="C40" s="50"/>
      <c r="D40" s="50"/>
      <c r="E40" s="50"/>
      <c r="F40" s="50"/>
      <c r="U40" s="111" t="s">
        <v>93</v>
      </c>
    </row>
    <row r="41" spans="1:21" s="1" customFormat="1" ht="22.5" customHeight="1" x14ac:dyDescent="0.2">
      <c r="A41" s="40"/>
      <c r="B41" s="41" t="s">
        <v>131</v>
      </c>
      <c r="C41" s="41" t="s">
        <v>184</v>
      </c>
      <c r="D41" s="40"/>
      <c r="E41" s="40"/>
      <c r="F41" s="40"/>
      <c r="U41" s="113" t="s">
        <v>94</v>
      </c>
    </row>
    <row r="42" spans="1:21" s="1" customFormat="1" ht="17.25" customHeight="1" x14ac:dyDescent="0.2">
      <c r="A42" s="42"/>
      <c r="B42" s="43" t="str">
        <f>CONCATENATE("Aufwand der Gemeinde ",$C$5," für die Sozialhilfe je Einwohner/in im Jahr ",$C$7-2)</f>
        <v>Aufwand der Gemeinde  für die Sozialhilfe je Einwohner/in im Jahr 2014</v>
      </c>
      <c r="C42" s="43" t="s">
        <v>198</v>
      </c>
      <c r="D42" s="43" t="s">
        <v>112</v>
      </c>
      <c r="E42" s="44" t="e">
        <f>(VLOOKUP($C$5,Basis!$B$5:$BC$81,21,FALSE)+VLOOKUP($C$5,Basis!$B$5:$BC$81,22,FALSE)+VLOOKUP($C$5,Basis!$B$5:$BC$81,23,FALSE)+VLOOKUP($C$5,Basis!$B$5:$BC$81,24,FALSE))/VLOOKUP($C$5,Basis!$B$5:$BC$81,14,FALSE)</f>
        <v>#N/A</v>
      </c>
      <c r="F42" s="42"/>
      <c r="U42" s="113" t="s">
        <v>92</v>
      </c>
    </row>
    <row r="43" spans="1:21" s="1" customFormat="1" ht="17.25" customHeight="1" x14ac:dyDescent="0.2">
      <c r="A43" s="42"/>
      <c r="B43" s="43" t="str">
        <f>CONCATENATE("Aufwand für die Sozialhilfe je Einwohner/in im kantonalen Durchschnitt im Jahr ",$C$7-2)</f>
        <v>Aufwand für die Sozialhilfe je Einwohner/in im kantonalen Durchschnitt im Jahr 2014</v>
      </c>
      <c r="C43" s="43" t="s">
        <v>199</v>
      </c>
      <c r="D43" s="43" t="s">
        <v>112</v>
      </c>
      <c r="E43" s="44">
        <f>SUM(Basis!$V$82:$Y$82)/Basis!$O$82</f>
        <v>183.90593623947214</v>
      </c>
      <c r="F43" s="42"/>
      <c r="U43" s="113" t="s">
        <v>78</v>
      </c>
    </row>
    <row r="44" spans="1:21" s="1" customFormat="1" ht="17.25" customHeight="1" x14ac:dyDescent="0.2">
      <c r="A44" s="42"/>
      <c r="B44" s="43" t="str">
        <f>CONCATENATE("Einwohnerzahl der Gemeinde ",$C$5," Ende ",$C$7-2)</f>
        <v>Einwohnerzahl der Gemeinde  Ende 2014</v>
      </c>
      <c r="C44" s="43" t="s">
        <v>196</v>
      </c>
      <c r="D44" s="43" t="s">
        <v>116</v>
      </c>
      <c r="E44" s="45" t="e">
        <f>VLOOKUP($C$5,Basis!$B$5:$BC$81,14,FALSE)</f>
        <v>#N/A</v>
      </c>
      <c r="F44" s="42"/>
      <c r="U44" s="111" t="s">
        <v>47</v>
      </c>
    </row>
    <row r="45" spans="1:21" s="1" customFormat="1" ht="22.5" customHeight="1" x14ac:dyDescent="0.2">
      <c r="A45" s="46"/>
      <c r="B45" s="46" t="str">
        <f>CONCATENATE("Definitiver Beitrag an die Kosten für die Sozialhilfe ",$C$7," an die Gemeinde ",$C$5)</f>
        <v xml:space="preserve">Definitiver Beitrag an die Kosten für die Sozialhilfe 2016 an die Gemeinde </v>
      </c>
      <c r="C45" s="47" t="s">
        <v>200</v>
      </c>
      <c r="D45" s="46" t="e">
        <f>IF(E45&gt;0,"Fr.","")</f>
        <v>#N/A</v>
      </c>
      <c r="E45" s="48" t="e">
        <f>IF(E42&gt;E43,(E42-E43)*E44*0.55,0)</f>
        <v>#N/A</v>
      </c>
      <c r="F45" s="46"/>
      <c r="U45" s="113" t="s">
        <v>86</v>
      </c>
    </row>
    <row r="46" spans="1:21" ht="5.25" customHeight="1" x14ac:dyDescent="0.2">
      <c r="A46" s="51"/>
      <c r="B46" s="49"/>
      <c r="C46" s="49"/>
      <c r="D46" s="49"/>
      <c r="E46" s="49"/>
      <c r="F46" s="49"/>
      <c r="U46" s="113" t="s">
        <v>58</v>
      </c>
    </row>
    <row r="47" spans="1:21" s="4" customFormat="1" ht="22.5" customHeight="1" x14ac:dyDescent="0.2">
      <c r="A47" s="50"/>
      <c r="B47" s="50" t="s">
        <v>132</v>
      </c>
      <c r="C47" s="50"/>
      <c r="D47" s="50"/>
      <c r="E47" s="50"/>
      <c r="F47" s="50"/>
      <c r="U47" s="113" t="s">
        <v>62</v>
      </c>
    </row>
    <row r="48" spans="1:21" s="1" customFormat="1" ht="22.5" customHeight="1" x14ac:dyDescent="0.2">
      <c r="A48" s="40"/>
      <c r="B48" s="41" t="s">
        <v>133</v>
      </c>
      <c r="C48" s="41" t="s">
        <v>185</v>
      </c>
      <c r="D48" s="40"/>
      <c r="E48" s="40"/>
      <c r="F48" s="40"/>
      <c r="U48" s="111" t="s">
        <v>71</v>
      </c>
    </row>
    <row r="49" spans="1:21" s="1" customFormat="1" ht="17.25" customHeight="1" x14ac:dyDescent="0.2">
      <c r="A49" s="42"/>
      <c r="B49" s="43" t="str">
        <f>CONCATENATE("Aufwand der Gemeinde ",$C$5," für die stationäre Pflege je Einwohner/in im Jahr ",$C$7-2)</f>
        <v>Aufwand der Gemeinde  für die stationäre Pflege je Einwohner/in im Jahr 2014</v>
      </c>
      <c r="C49" s="43" t="s">
        <v>201</v>
      </c>
      <c r="D49" s="43" t="s">
        <v>112</v>
      </c>
      <c r="E49" s="44" t="e">
        <f>(VLOOKUP($C$5,Basis!$B$5:$BC$81,25,FALSE)/VLOOKUP($C$5,Basis!$B$5:$BC$81,14,FALSE))</f>
        <v>#N/A</v>
      </c>
      <c r="F49" s="42"/>
      <c r="U49" s="111" t="s">
        <v>43</v>
      </c>
    </row>
    <row r="50" spans="1:21" s="1" customFormat="1" ht="17.25" customHeight="1" x14ac:dyDescent="0.2">
      <c r="A50" s="42"/>
      <c r="B50" s="43" t="str">
        <f>CONCATENATE("Aufwand für die stationäre Pflege je Einwohner/in im kantonalen Durchschnitt im Jahr ",$C$7-2)</f>
        <v>Aufwand für die stationäre Pflege je Einwohner/in im kantonalen Durchschnitt im Jahr 2014</v>
      </c>
      <c r="C50" s="43" t="s">
        <v>202</v>
      </c>
      <c r="D50" s="43" t="s">
        <v>112</v>
      </c>
      <c r="E50" s="44">
        <f>Basis!$Z$82/Basis!$O$82</f>
        <v>123.51212960647324</v>
      </c>
      <c r="F50" s="42"/>
      <c r="U50" s="113" t="s">
        <v>36</v>
      </c>
    </row>
    <row r="51" spans="1:21" s="1" customFormat="1" ht="17.25" customHeight="1" x14ac:dyDescent="0.2">
      <c r="A51" s="193"/>
      <c r="B51" s="194" t="str">
        <f>CONCATENATE("Einwohnerzahl der Gemeinde ",$C$5," Ende ",$C$7-2)</f>
        <v>Einwohnerzahl der Gemeinde  Ende 2014</v>
      </c>
      <c r="C51" s="194" t="s">
        <v>196</v>
      </c>
      <c r="D51" s="194" t="s">
        <v>116</v>
      </c>
      <c r="E51" s="195" t="e">
        <f>VLOOKUP($C$5,Basis!$B$5:$BC$81,14,FALSE)</f>
        <v>#N/A</v>
      </c>
      <c r="F51" s="193"/>
      <c r="U51" s="113" t="s">
        <v>34</v>
      </c>
    </row>
    <row r="52" spans="1:21" ht="22.5" customHeight="1" x14ac:dyDescent="0.2">
      <c r="A52" s="46"/>
      <c r="B52" s="46" t="str">
        <f>CONCATENATE("Definitiver Beitrag an die Kosten für die stationäre Pflege ",$C$7," an die Gemeinde ",$C$5)</f>
        <v xml:space="preserve">Definitiver Beitrag an die Kosten für die stationäre Pflege 2016 an die Gemeinde </v>
      </c>
      <c r="C52" s="47" t="s">
        <v>203</v>
      </c>
      <c r="D52" s="46" t="e">
        <f>IF(E52&gt;0,"Fr.","")</f>
        <v>#N/A</v>
      </c>
      <c r="E52" s="52" t="e">
        <f>IF(E49&gt;E50,(E49-E50)*E51*0.55,0)</f>
        <v>#N/A</v>
      </c>
      <c r="F52" s="46"/>
      <c r="U52" s="111" t="s">
        <v>33</v>
      </c>
    </row>
    <row r="53" spans="1:21" ht="5.25" customHeight="1" x14ac:dyDescent="0.2">
      <c r="A53" s="49"/>
      <c r="B53" s="49"/>
      <c r="C53" s="49"/>
      <c r="D53" s="49"/>
      <c r="E53" s="49"/>
      <c r="F53" s="49"/>
      <c r="U53" s="113" t="s">
        <v>48</v>
      </c>
    </row>
    <row r="54" spans="1:21" s="4" customFormat="1" ht="22.5" customHeight="1" x14ac:dyDescent="0.2">
      <c r="A54" s="53"/>
      <c r="B54" s="53" t="s">
        <v>135</v>
      </c>
      <c r="C54" s="53"/>
      <c r="D54" s="53"/>
      <c r="E54" s="53"/>
      <c r="F54" s="53"/>
      <c r="U54" s="111" t="s">
        <v>55</v>
      </c>
    </row>
    <row r="55" spans="1:21" s="1" customFormat="1" ht="22.5" customHeight="1" x14ac:dyDescent="0.2">
      <c r="A55" s="40"/>
      <c r="B55" s="41" t="s">
        <v>226</v>
      </c>
      <c r="C55" s="41" t="s">
        <v>227</v>
      </c>
      <c r="D55" s="40"/>
      <c r="E55" s="40"/>
      <c r="F55" s="40"/>
      <c r="U55" s="111" t="s">
        <v>65</v>
      </c>
    </row>
    <row r="56" spans="1:21" s="1" customFormat="1" ht="17.25" customHeight="1" x14ac:dyDescent="0.2">
      <c r="A56" s="42"/>
      <c r="B56" s="43" t="str">
        <f>CONCATENATE("Stundenleistung nach eidg. Krankenpflege Leistungsverordnung der Gemeinde ",$C$5," im Jahr ",$C$7-2)</f>
        <v>Stundenleistung nach eidg. Krankenpflege Leistungsverordnung der Gemeinde  im Jahr 2014</v>
      </c>
      <c r="C56" s="43" t="s">
        <v>228</v>
      </c>
      <c r="D56" s="43" t="s">
        <v>134</v>
      </c>
      <c r="E56" s="44" t="e">
        <f>(VLOOKUP($C$5,Basis!$B$5:$BC$81,26,FALSE)/VLOOKUP($C$5,Basis!$B$5:$BC$81,14,FALSE))</f>
        <v>#N/A</v>
      </c>
      <c r="F56" s="42"/>
      <c r="U56" s="113" t="s">
        <v>70</v>
      </c>
    </row>
    <row r="57" spans="1:21" s="1" customFormat="1" ht="17.25" customHeight="1" x14ac:dyDescent="0.2">
      <c r="A57" s="42"/>
      <c r="B57" s="43" t="str">
        <f>CONCATENATE("Stundenleistung nach eidg. Krankenpflege Leistungsverordnung im kantonalen Durchschnitt im Jahr ",$C$7-2)</f>
        <v>Stundenleistung nach eidg. Krankenpflege Leistungsverordnung im kantonalen Durchschnitt im Jahr 2014</v>
      </c>
      <c r="C57" s="43" t="s">
        <v>229</v>
      </c>
      <c r="D57" s="43" t="s">
        <v>134</v>
      </c>
      <c r="E57" s="44">
        <f>Basis!AA$82/Basis!$O$82</f>
        <v>0.95868493659040299</v>
      </c>
      <c r="F57" s="42"/>
      <c r="U57" s="111" t="s">
        <v>49</v>
      </c>
    </row>
    <row r="58" spans="1:21" s="1" customFormat="1" ht="17.25" customHeight="1" x14ac:dyDescent="0.2">
      <c r="A58" s="42"/>
      <c r="B58" s="43" t="str">
        <f>CONCATENATE("Einwohnerzahl der Gemeinde ",$C$5," Ende ",$C$7-2)</f>
        <v>Einwohnerzahl der Gemeinde  Ende 2014</v>
      </c>
      <c r="C58" s="43" t="s">
        <v>196</v>
      </c>
      <c r="D58" s="43" t="s">
        <v>116</v>
      </c>
      <c r="E58" s="45" t="e">
        <f>VLOOKUP($C$5,Basis!$B$5:$BC$81,14,FALSE)</f>
        <v>#N/A</v>
      </c>
      <c r="F58" s="42"/>
      <c r="U58" s="111" t="s">
        <v>53</v>
      </c>
    </row>
    <row r="59" spans="1:21" s="1" customFormat="1" ht="17.25" customHeight="1" x14ac:dyDescent="0.2">
      <c r="A59" s="42"/>
      <c r="B59" s="43" t="s">
        <v>232</v>
      </c>
      <c r="C59" s="43" t="s">
        <v>230</v>
      </c>
      <c r="D59" s="43" t="s">
        <v>112</v>
      </c>
      <c r="E59" s="54">
        <v>22</v>
      </c>
      <c r="F59" s="42"/>
      <c r="U59" s="113" t="s">
        <v>22</v>
      </c>
    </row>
    <row r="60" spans="1:21" s="1" customFormat="1" ht="17.25" customHeight="1" x14ac:dyDescent="0.2">
      <c r="A60" s="42"/>
      <c r="B60" s="43" t="s">
        <v>233</v>
      </c>
      <c r="C60" s="43" t="s">
        <v>231</v>
      </c>
      <c r="D60" s="43" t="s">
        <v>112</v>
      </c>
      <c r="E60" s="54">
        <v>4</v>
      </c>
      <c r="F60" s="42"/>
      <c r="U60" s="111" t="s">
        <v>37</v>
      </c>
    </row>
    <row r="61" spans="1:21" s="1" customFormat="1" ht="22.5" customHeight="1" x14ac:dyDescent="0.2">
      <c r="A61" s="46"/>
      <c r="B61" s="46" t="str">
        <f>CONCATENATE("Definitiver Beitrag an die Kosten für die ambulante Pflege ",$C$7," an die Gemeinde ",$C$5,", teuerungsbereinigt")</f>
        <v>Definitiver Beitrag an die Kosten für die ambulante Pflege 2016 an die Gemeinde , teuerungsbereinigt</v>
      </c>
      <c r="C61" s="47" t="s">
        <v>204</v>
      </c>
      <c r="D61" s="46" t="e">
        <f>IF(E61&gt;0,"Fr.","")</f>
        <v>#N/A</v>
      </c>
      <c r="E61" s="52" t="e">
        <f>IF(E56&gt;E57,(E56-E57)*E58*(E59-E60)*0.55*Basis!BF5/Basis!BE5,0)</f>
        <v>#N/A</v>
      </c>
      <c r="F61" s="46"/>
      <c r="U61" s="113" t="s">
        <v>28</v>
      </c>
    </row>
    <row r="62" spans="1:21" ht="5.25" customHeight="1" x14ac:dyDescent="0.2">
      <c r="A62" s="24"/>
      <c r="B62" s="24"/>
      <c r="C62" s="24"/>
      <c r="D62" s="24"/>
      <c r="E62" s="24"/>
      <c r="F62" s="24"/>
      <c r="U62" s="111" t="s">
        <v>35</v>
      </c>
    </row>
    <row r="63" spans="1:21" s="4" customFormat="1" ht="22.5" customHeight="1" x14ac:dyDescent="0.2">
      <c r="A63" s="17"/>
      <c r="B63" s="55" t="str">
        <f>CONCATENATE("Definitiver Beitrag an die Gemeinde ",$C$5," aus dem soziodemographischen Sonderlastenausgleich ",$C$7)</f>
        <v>Definitiver Beitrag an die Gemeinde  aus dem soziodemographischen Sonderlastenausgleich 2016</v>
      </c>
      <c r="C63" s="17"/>
      <c r="D63" s="17" t="e">
        <f>IF(E63&gt;0,"Fr.","")</f>
        <v>#N/A</v>
      </c>
      <c r="E63" s="56" t="e">
        <f>ROUND(SUM(E61,E52,E45,E38),-2)</f>
        <v>#N/A</v>
      </c>
      <c r="F63" s="17"/>
      <c r="U63" s="113" t="s">
        <v>30</v>
      </c>
    </row>
    <row r="64" spans="1:21" ht="5.25" customHeight="1" x14ac:dyDescent="0.2">
      <c r="U64" s="111" t="s">
        <v>31</v>
      </c>
    </row>
    <row r="65" spans="1:21" s="4" customFormat="1" ht="22.5" customHeight="1" x14ac:dyDescent="0.2">
      <c r="A65" s="14"/>
      <c r="B65" s="14" t="s">
        <v>136</v>
      </c>
      <c r="C65" s="14"/>
      <c r="D65" s="14"/>
      <c r="E65" s="14"/>
      <c r="F65" s="14"/>
      <c r="U65" s="111" t="s">
        <v>69</v>
      </c>
    </row>
    <row r="66" spans="1:21" s="4" customFormat="1" ht="22.5" customHeight="1" x14ac:dyDescent="0.2">
      <c r="A66" s="17"/>
      <c r="B66" s="17" t="str">
        <f>CONCATENATE("Politische Gemeinde ",$C$5," ",$C$7,"; Definitive Daten")</f>
        <v>Politische Gemeinde  2016; Definitive Daten</v>
      </c>
      <c r="C66" s="17"/>
      <c r="D66" s="17"/>
      <c r="E66" s="17"/>
      <c r="F66" s="17"/>
      <c r="U66" s="111" t="s">
        <v>87</v>
      </c>
    </row>
    <row r="67" spans="1:21" s="4" customFormat="1" ht="22.5" customHeight="1" x14ac:dyDescent="0.2">
      <c r="A67" s="53"/>
      <c r="B67" s="53" t="s">
        <v>137</v>
      </c>
      <c r="C67" s="53"/>
      <c r="D67" s="53"/>
      <c r="E67" s="53"/>
      <c r="F67" s="53"/>
      <c r="U67" s="113" t="s">
        <v>56</v>
      </c>
    </row>
    <row r="68" spans="1:21" s="1" customFormat="1" ht="22.5" customHeight="1" x14ac:dyDescent="0.2">
      <c r="A68" s="40"/>
      <c r="B68" s="41" t="s">
        <v>138</v>
      </c>
      <c r="C68" s="41" t="s">
        <v>186</v>
      </c>
      <c r="D68" s="40"/>
      <c r="E68" s="40"/>
      <c r="F68" s="40"/>
      <c r="U68" s="111" t="s">
        <v>97</v>
      </c>
    </row>
    <row r="69" spans="1:21" s="1" customFormat="1" ht="17.25" customHeight="1" x14ac:dyDescent="0.2">
      <c r="A69" s="42"/>
      <c r="B69" s="43" t="str">
        <f>CONCATENATE("Schülerzahl je Einwohner/in der Gemeinde ",$C$5," in der Volksschule im Jahr ",$C$7-2)</f>
        <v>Schülerzahl je Einwohner/in der Gemeinde  in der Volksschule im Jahr 2014</v>
      </c>
      <c r="C69" s="43" t="s">
        <v>205</v>
      </c>
      <c r="D69" s="43" t="s">
        <v>134</v>
      </c>
      <c r="E69" s="44" t="e">
        <f>VLOOKUP($C$5,Basis!$B$5:$BC$81,16,FALSE)/VLOOKUP($C$5,Basis!$B$5:$BC$81,14,FALSE)</f>
        <v>#N/A</v>
      </c>
      <c r="F69" s="42"/>
      <c r="U69" s="111" t="s">
        <v>61</v>
      </c>
    </row>
    <row r="70" spans="1:21" s="1" customFormat="1" ht="17.25" customHeight="1" x14ac:dyDescent="0.2">
      <c r="A70" s="42"/>
      <c r="B70" s="43" t="str">
        <f>CONCATENATE("Schülerzahl je Einwohner/in in der Volksschule im kantonalen Durchschnitt im Jahr ",$C$7-2)</f>
        <v>Schülerzahl je Einwohner/in in der Volksschule im kantonalen Durchschnitt im Jahr 2014</v>
      </c>
      <c r="C70" s="43" t="s">
        <v>206</v>
      </c>
      <c r="D70" s="43" t="s">
        <v>134</v>
      </c>
      <c r="E70" s="44">
        <f>Basis!$Q$82/Basis!$O$82</f>
        <v>0.11169689244570655</v>
      </c>
      <c r="F70" s="42"/>
      <c r="U70" s="113" t="s">
        <v>54</v>
      </c>
    </row>
    <row r="71" spans="1:21" s="1" customFormat="1" ht="17.25" customHeight="1" x14ac:dyDescent="0.2">
      <c r="A71" s="42"/>
      <c r="B71" s="43" t="str">
        <f>CONCATENATE("Einwohnerzahl der Gemeinde ",$C$5," Ende ",$C$7-2)</f>
        <v>Einwohnerzahl der Gemeinde  Ende 2014</v>
      </c>
      <c r="C71" s="43" t="s">
        <v>196</v>
      </c>
      <c r="D71" s="43" t="s">
        <v>116</v>
      </c>
      <c r="E71" s="45" t="e">
        <f>VLOOKUP($C$5,Basis!$B$5:$BC$81,14,FALSE)</f>
        <v>#N/A</v>
      </c>
      <c r="F71" s="42"/>
      <c r="U71" s="113" t="s">
        <v>76</v>
      </c>
    </row>
    <row r="72" spans="1:21" s="1" customFormat="1" ht="17.25" customHeight="1" x14ac:dyDescent="0.2">
      <c r="A72" s="42"/>
      <c r="B72" s="43" t="s">
        <v>139</v>
      </c>
      <c r="C72" s="43" t="s">
        <v>140</v>
      </c>
      <c r="D72" s="43" t="s">
        <v>112</v>
      </c>
      <c r="E72" s="54" t="e">
        <f>VLOOKUP($C$5,Basis!$B$5:$BC$81,52,FALSE)</f>
        <v>#N/A</v>
      </c>
      <c r="F72" s="42"/>
      <c r="U72" s="113" t="s">
        <v>64</v>
      </c>
    </row>
    <row r="73" spans="1:21" s="1" customFormat="1" ht="17.25" customHeight="1" x14ac:dyDescent="0.2">
      <c r="A73" s="42"/>
      <c r="B73" s="43" t="s">
        <v>125</v>
      </c>
      <c r="C73" s="43"/>
      <c r="D73" s="43" t="s">
        <v>110</v>
      </c>
      <c r="E73" s="57" t="e">
        <f>VLOOKUP($C$5,Basis!$B$5:$BC$81,50,FALSE)</f>
        <v>#N/A</v>
      </c>
      <c r="F73" s="42"/>
      <c r="U73" s="113" t="s">
        <v>42</v>
      </c>
    </row>
    <row r="74" spans="1:21" s="1" customFormat="1" ht="22.5" customHeight="1" x14ac:dyDescent="0.2">
      <c r="A74" s="46"/>
      <c r="B74" s="46" t="str">
        <f>CONCATENATE("Definitiver Beitrag aus dem Sonderlastenausgleich Volksschule ",$C$7," an die Gemeinde ",$C$5)</f>
        <v xml:space="preserve">Definitiver Beitrag aus dem Sonderlastenausgleich Volksschule 2016 an die Gemeinde </v>
      </c>
      <c r="C74" s="47" t="s">
        <v>207</v>
      </c>
      <c r="D74" s="46" t="e">
        <f>IF(E74&gt;0,"Fr.","")</f>
        <v>#N/A</v>
      </c>
      <c r="E74" s="48" t="e">
        <f>IF(E69&gt;E70,(E69-E70)*E71*E72+E73*((E69-E70)*E71*E72),0)</f>
        <v>#N/A</v>
      </c>
      <c r="F74" s="46"/>
      <c r="U74" s="113" t="s">
        <v>90</v>
      </c>
    </row>
    <row r="75" spans="1:21" ht="5.25" customHeight="1" x14ac:dyDescent="0.2">
      <c r="U75" s="111" t="s">
        <v>73</v>
      </c>
    </row>
    <row r="76" spans="1:21" s="4" customFormat="1" ht="22.5" customHeight="1" x14ac:dyDescent="0.2">
      <c r="A76" s="53"/>
      <c r="B76" s="53" t="s">
        <v>141</v>
      </c>
      <c r="C76" s="53"/>
      <c r="D76" s="53"/>
      <c r="E76" s="53"/>
      <c r="F76" s="53"/>
      <c r="U76" s="111" t="s">
        <v>23</v>
      </c>
    </row>
    <row r="77" spans="1:21" s="1" customFormat="1" ht="22.5" customHeight="1" x14ac:dyDescent="0.2">
      <c r="A77" s="40"/>
      <c r="B77" s="41" t="s">
        <v>142</v>
      </c>
      <c r="C77" s="41" t="s">
        <v>187</v>
      </c>
      <c r="D77" s="40"/>
      <c r="E77" s="40"/>
      <c r="F77" s="40"/>
      <c r="U77" s="111" t="s">
        <v>91</v>
      </c>
    </row>
    <row r="78" spans="1:21" s="1" customFormat="1" ht="17.25" customHeight="1" x14ac:dyDescent="0.2">
      <c r="A78" s="42"/>
      <c r="B78" s="43" t="str">
        <f>CONCATENATE("Schülerzahl je Einwohner/in der Gemeinde ",$C$5," in der Sonderschule im Jahr ",$C$7-2)</f>
        <v>Schülerzahl je Einwohner/in der Gemeinde  in der Sonderschule im Jahr 2014</v>
      </c>
      <c r="C78" s="43" t="s">
        <v>208</v>
      </c>
      <c r="D78" s="43" t="s">
        <v>134</v>
      </c>
      <c r="E78" s="44" t="e">
        <f>VLOOKUP($C$5,Basis!$B$5:$BC$81,17,FALSE)/VLOOKUP($C$5,Basis!$B$5:$BC$81,14,FALSE)</f>
        <v>#N/A</v>
      </c>
      <c r="F78" s="42"/>
      <c r="U78" s="6">
        <v>2014</v>
      </c>
    </row>
    <row r="79" spans="1:21" s="1" customFormat="1" ht="17.25" customHeight="1" x14ac:dyDescent="0.2">
      <c r="A79" s="42"/>
      <c r="B79" s="43" t="str">
        <f>CONCATENATE("Schülerzahl je Einwohner/in in der Sonderschule im kantonalen Durchschnitt im Jahr ",$C$7-2)</f>
        <v>Schülerzahl je Einwohner/in in der Sonderschule im kantonalen Durchschnitt im Jahr 2014</v>
      </c>
      <c r="C79" s="43" t="s">
        <v>209</v>
      </c>
      <c r="D79" s="43" t="s">
        <v>134</v>
      </c>
      <c r="E79" s="44">
        <f>Basis!$R$82/Basis!$O$82</f>
        <v>2.8397173190486949E-3</v>
      </c>
      <c r="F79" s="42"/>
      <c r="U79" s="6"/>
    </row>
    <row r="80" spans="1:21" s="1" customFormat="1" ht="17.25" customHeight="1" x14ac:dyDescent="0.2">
      <c r="A80" s="42"/>
      <c r="B80" s="43" t="str">
        <f>CONCATENATE("Einwohnerzahl der Gemeinde ",$C$5," Ende ",$C$7-2)</f>
        <v>Einwohnerzahl der Gemeinde  Ende 2014</v>
      </c>
      <c r="C80" s="43" t="s">
        <v>196</v>
      </c>
      <c r="D80" s="43" t="s">
        <v>116</v>
      </c>
      <c r="E80" s="45" t="e">
        <f>VLOOKUP($C$5,Basis!$B$5:$BC$81,14,FALSE)</f>
        <v>#N/A</v>
      </c>
      <c r="F80" s="42"/>
      <c r="U80" s="6"/>
    </row>
    <row r="81" spans="1:21" s="1" customFormat="1" ht="17.25" customHeight="1" x14ac:dyDescent="0.2">
      <c r="A81" s="42"/>
      <c r="B81" s="43" t="s">
        <v>143</v>
      </c>
      <c r="C81" s="43" t="s">
        <v>144</v>
      </c>
      <c r="D81" s="43" t="s">
        <v>112</v>
      </c>
      <c r="E81" s="54" t="e">
        <f>VLOOKUP($C$5,Basis!$B$5:$BC$81,53,FALSE)</f>
        <v>#N/A</v>
      </c>
      <c r="F81" s="42"/>
      <c r="U81" s="6"/>
    </row>
    <row r="82" spans="1:21" s="1" customFormat="1" ht="17.25" customHeight="1" x14ac:dyDescent="0.2">
      <c r="A82" s="42"/>
      <c r="B82" s="43" t="s">
        <v>125</v>
      </c>
      <c r="C82" s="43"/>
      <c r="D82" s="43" t="s">
        <v>110</v>
      </c>
      <c r="E82" s="57" t="e">
        <f>VLOOKUP($C$5,Basis!$B$5:$BC$81,50,FALSE)</f>
        <v>#N/A</v>
      </c>
      <c r="F82" s="42"/>
      <c r="U82" s="58"/>
    </row>
    <row r="83" spans="1:21" s="1" customFormat="1" ht="22.5" customHeight="1" x14ac:dyDescent="0.2">
      <c r="A83" s="46"/>
      <c r="B83" s="46" t="str">
        <f>CONCATENATE("Definitiver Beitrag aus dem Sonderlastenausgleich Sonderschule ",$C$7," an die Gemeinde ",$C$5)</f>
        <v xml:space="preserve">Definitiver Beitrag aus dem Sonderlastenausgleich Sonderschule 2016 an die Gemeinde </v>
      </c>
      <c r="C83" s="47" t="s">
        <v>210</v>
      </c>
      <c r="D83" s="46" t="e">
        <f>IF(E83&gt;0,"Fr.","")</f>
        <v>#N/A</v>
      </c>
      <c r="E83" s="48" t="e">
        <f>IF(E78&gt;E79,(E78-E79)*E80*E81+E82*((E78-E79)*E80*E81),0)</f>
        <v>#N/A</v>
      </c>
      <c r="F83" s="46"/>
      <c r="U83" s="58"/>
    </row>
    <row r="84" spans="1:21" ht="5.25" customHeight="1" x14ac:dyDescent="0.2">
      <c r="A84" s="14"/>
      <c r="B84" s="14"/>
      <c r="C84" s="14"/>
      <c r="D84" s="14"/>
      <c r="E84" s="14"/>
      <c r="F84" s="14"/>
    </row>
    <row r="85" spans="1:21" ht="22.5" customHeight="1" x14ac:dyDescent="0.2">
      <c r="A85" s="17"/>
      <c r="B85" s="55" t="str">
        <f>CONCATENATE("Definitiver Beitrag an die Gemeinde ",$C$5," aus dem Sonderlastenausgleich Schule ",$C$7)</f>
        <v>Definitiver Beitrag an die Gemeinde  aus dem Sonderlastenausgleich Schule 2016</v>
      </c>
      <c r="C85" s="17"/>
      <c r="D85" s="17" t="e">
        <f>IF(E85&gt;0,"Fr.","")</f>
        <v>#N/A</v>
      </c>
      <c r="E85" s="56" t="e">
        <f>ROUND(SUM(E83,E74),-2)</f>
        <v>#N/A</v>
      </c>
      <c r="F85" s="17"/>
    </row>
    <row r="86" spans="1:21" ht="5.25" customHeight="1" x14ac:dyDescent="0.2"/>
    <row r="87" spans="1:21" s="4" customFormat="1" ht="22.5" customHeight="1" x14ac:dyDescent="0.2">
      <c r="A87" s="28"/>
      <c r="B87" s="28" t="s">
        <v>145</v>
      </c>
      <c r="C87" s="28"/>
      <c r="D87" s="28"/>
      <c r="E87" s="28"/>
      <c r="F87" s="28"/>
      <c r="U87" s="60"/>
    </row>
    <row r="88" spans="1:21" s="1" customFormat="1" ht="17.25" customHeight="1" x14ac:dyDescent="0.2">
      <c r="A88" s="33"/>
      <c r="B88" s="33" t="str">
        <f>CONCATENATE("Veränderung Landesindex der Konsumentenpreise Juni ",$C$7, " zu Juni 2007")</f>
        <v>Veränderung Landesindex der Konsumentenpreise Juni 2016 zu Juni 2007</v>
      </c>
      <c r="C88" s="33"/>
      <c r="D88" s="34" t="s">
        <v>110</v>
      </c>
      <c r="E88" s="61">
        <f>Basis!$BD$5/101.7%-1</f>
        <v>0</v>
      </c>
      <c r="F88" s="33"/>
      <c r="U88" s="58"/>
    </row>
    <row r="89" spans="1:21" s="1" customFormat="1" ht="17.25" customHeight="1" x14ac:dyDescent="0.2">
      <c r="A89" s="33"/>
      <c r="B89" s="34" t="s">
        <v>146</v>
      </c>
      <c r="C89" s="34" t="s">
        <v>147</v>
      </c>
      <c r="D89" s="33" t="e">
        <f>IF(E89&gt;0,"Fr.","")</f>
        <v>#N/A</v>
      </c>
      <c r="E89" s="62" t="e">
        <f>VLOOKUP($C$5,Basis!$B$5:$BC$81,6,FALSE)</f>
        <v>#N/A</v>
      </c>
      <c r="F89" s="33"/>
      <c r="U89" s="58"/>
    </row>
    <row r="90" spans="1:21" s="1" customFormat="1" ht="17.25" customHeight="1" x14ac:dyDescent="0.2">
      <c r="A90" s="33"/>
      <c r="B90" s="34" t="s">
        <v>148</v>
      </c>
      <c r="C90" s="34" t="s">
        <v>149</v>
      </c>
      <c r="D90" s="33" t="e">
        <f>IF(E90&gt;0,"Fr.","")</f>
        <v>#N/A</v>
      </c>
      <c r="E90" s="62" t="e">
        <f>VLOOKUP($C$5,Basis!$B$5:$BC$81,7,FALSE)</f>
        <v>#N/A</v>
      </c>
      <c r="F90" s="33"/>
      <c r="U90" s="58"/>
    </row>
    <row r="91" spans="1:21" s="4" customFormat="1" ht="22.5" customHeight="1" x14ac:dyDescent="0.2">
      <c r="A91" s="28"/>
      <c r="B91" s="29" t="str">
        <f>CONCATENATE("Definitiver Beitrag an die Gemeinde ",$C$5," aus dem Sonderlastenausgleich Stadt ",$C$7)</f>
        <v>Definitiver Beitrag an die Gemeinde  aus dem Sonderlastenausgleich Stadt 2016</v>
      </c>
      <c r="C91" s="28"/>
      <c r="D91" s="28" t="e">
        <f>IF(E91&gt;0,"Fr.","")</f>
        <v>#N/A</v>
      </c>
      <c r="E91" s="63" t="e">
        <f>SUM(E89:E90)</f>
        <v>#N/A</v>
      </c>
      <c r="F91" s="28"/>
      <c r="U91" s="60"/>
    </row>
    <row r="92" spans="1:21" ht="22.5" customHeight="1" thickBot="1" x14ac:dyDescent="0.25">
      <c r="B92" s="64"/>
    </row>
    <row r="93" spans="1:21" s="2" customFormat="1" ht="22.5" customHeight="1" thickBot="1" x14ac:dyDescent="0.25">
      <c r="A93" s="65"/>
      <c r="B93" s="65" t="s">
        <v>150</v>
      </c>
      <c r="C93" s="65"/>
      <c r="D93" s="65"/>
      <c r="E93" s="65"/>
      <c r="F93" s="65"/>
      <c r="U93" s="66"/>
    </row>
    <row r="94" spans="1:21" ht="5.25" customHeight="1" x14ac:dyDescent="0.2"/>
    <row r="95" spans="1:21" s="1" customFormat="1" ht="22.5" customHeight="1" x14ac:dyDescent="0.2">
      <c r="A95" s="67"/>
      <c r="B95" s="67" t="s">
        <v>151</v>
      </c>
      <c r="C95" s="68" t="s">
        <v>188</v>
      </c>
      <c r="D95" s="67"/>
      <c r="E95" s="67"/>
      <c r="F95" s="67"/>
      <c r="U95" s="58"/>
    </row>
    <row r="96" spans="1:21" s="1" customFormat="1" ht="17.25" customHeight="1" x14ac:dyDescent="0.2">
      <c r="A96" s="69"/>
      <c r="B96" s="69" t="str">
        <f>CONCATENATE("Steuerfuss ",$C$7-2," der Gemeinde ",$C$5," vor Steuerfussausgleich")</f>
        <v>Steuerfuss 2014 der Gemeinde  vor Steuerfussausgleich</v>
      </c>
      <c r="C96" s="70" t="s">
        <v>189</v>
      </c>
      <c r="D96" s="70" t="s">
        <v>110</v>
      </c>
      <c r="E96" s="71" t="e">
        <f>VLOOKUP($C$5,Basis!B5:BD81,12,FALSE)</f>
        <v>#N/A</v>
      </c>
      <c r="F96" s="69"/>
      <c r="U96" s="58"/>
    </row>
    <row r="97" spans="1:21" s="1" customFormat="1" ht="17.25" customHeight="1" x14ac:dyDescent="0.2">
      <c r="A97" s="69"/>
      <c r="B97" s="70" t="s">
        <v>152</v>
      </c>
      <c r="C97" s="70" t="s">
        <v>190</v>
      </c>
      <c r="D97" s="70" t="s">
        <v>110</v>
      </c>
      <c r="E97" s="72">
        <v>1.45</v>
      </c>
      <c r="F97" s="69"/>
      <c r="U97" s="58"/>
    </row>
    <row r="98" spans="1:21" s="1" customFormat="1" ht="17.25" customHeight="1" x14ac:dyDescent="0.2">
      <c r="A98" s="69"/>
      <c r="B98" s="70" t="str">
        <f>CONCATENATE("Einwohnerzahl der Gemeinde ",$C$5," Ende ",$C$7-2)</f>
        <v>Einwohnerzahl der Gemeinde  Ende 2014</v>
      </c>
      <c r="C98" s="70" t="s">
        <v>191</v>
      </c>
      <c r="D98" s="70" t="s">
        <v>116</v>
      </c>
      <c r="E98" s="73" t="e">
        <f>VLOOKUP($C$5,Basis!$B$5:$BC$81,14,FALSE)</f>
        <v>#N/A</v>
      </c>
      <c r="F98" s="69"/>
      <c r="U98" s="58"/>
    </row>
    <row r="99" spans="1:21" s="1" customFormat="1" ht="17.25" customHeight="1" x14ac:dyDescent="0.2">
      <c r="A99" s="69"/>
      <c r="B99" s="69" t="str">
        <f>CONCATENATE("Steuerkraft der Gemeinde ",$C$5)</f>
        <v xml:space="preserve">Steuerkraft der Gemeinde </v>
      </c>
      <c r="C99" s="70" t="s">
        <v>192</v>
      </c>
      <c r="D99" s="70" t="s">
        <v>112</v>
      </c>
      <c r="E99" s="74" t="e">
        <f>VLOOKUP($C$5,Basis!$B$5:$BC$81,47,FALSE)</f>
        <v>#N/A</v>
      </c>
      <c r="F99" s="69"/>
      <c r="U99" s="58"/>
    </row>
    <row r="100" spans="1:21" s="4" customFormat="1" ht="22.5" customHeight="1" x14ac:dyDescent="0.2">
      <c r="A100" s="75"/>
      <c r="B100" s="75" t="str">
        <f>CONCATENATE("Definitiver Beitrag an die Gemeinde ",$C$5," aus dem partiellen Steuerfussausgleich ",$C$7)</f>
        <v>Definitiver Beitrag an die Gemeinde  aus dem partiellen Steuerfussausgleich 2016</v>
      </c>
      <c r="C100" s="75" t="s">
        <v>193</v>
      </c>
      <c r="D100" s="75" t="e">
        <f>IF(E100&gt;0,"Fr.","")</f>
        <v>#N/A</v>
      </c>
      <c r="E100" s="76" t="e">
        <f>IF(VLOOKUP($C$5,Basis!B5:BD81,8,FALSE)&gt;0,VLOOKUP($C$5,Basis!B5:BD81,8,FALSE),0)</f>
        <v>#N/A</v>
      </c>
      <c r="F100" s="75"/>
      <c r="U100" s="60"/>
    </row>
    <row r="101" spans="1:21" s="78" customFormat="1" ht="22.5" customHeight="1" x14ac:dyDescent="0.2">
      <c r="A101" s="77"/>
      <c r="B101" s="77" t="s">
        <v>153</v>
      </c>
      <c r="C101" s="77"/>
      <c r="D101" s="77"/>
      <c r="E101" s="77"/>
      <c r="F101" s="77"/>
      <c r="U101" s="79"/>
    </row>
    <row r="102" spans="1:21" s="4" customFormat="1" ht="22.5" customHeight="1" x14ac:dyDescent="0.2">
      <c r="A102" s="75"/>
      <c r="B102" s="75" t="str">
        <f>CONCATENATE("Definitiver Beitrag an die Gemeinde ",$C$5," aus dem individuellen Sonderlastenausgleich ",$C$7)</f>
        <v>Definitiver Beitrag an die Gemeinde  aus dem individuellen Sonderlastenausgleich 2016</v>
      </c>
      <c r="C102" s="75" t="s">
        <v>154</v>
      </c>
      <c r="D102" s="75" t="e">
        <f>IF(E102&gt;0,"Fr.","")</f>
        <v>#N/A</v>
      </c>
      <c r="E102" s="80" t="e">
        <f>IF(VLOOKUP($C$5,Basis!B5:BD81,9,FALSE)&gt;0,VLOOKUP($C$5,Basis!B5:BD81,9,FALSE),0)</f>
        <v>#N/A</v>
      </c>
      <c r="F102" s="75"/>
      <c r="U102" s="60"/>
    </row>
    <row r="103" spans="1:21" ht="22.5" customHeight="1" thickBot="1" x14ac:dyDescent="0.25"/>
    <row r="104" spans="1:21" s="2" customFormat="1" ht="22.5" customHeight="1" thickBot="1" x14ac:dyDescent="0.25">
      <c r="A104" s="81"/>
      <c r="B104" s="81" t="s">
        <v>155</v>
      </c>
      <c r="C104" s="81"/>
      <c r="D104" s="81"/>
      <c r="E104" s="81"/>
      <c r="F104" s="81"/>
      <c r="U104" s="66"/>
    </row>
    <row r="105" spans="1:21" ht="5.25" customHeight="1" x14ac:dyDescent="0.2"/>
    <row r="106" spans="1:21" s="4" customFormat="1" ht="22.5" customHeight="1" x14ac:dyDescent="0.2">
      <c r="A106" s="82"/>
      <c r="B106" s="82" t="str">
        <f>CONCATENATE("Definitiver Beitrag an die Gemeinde ",$C$5," aus dem Übergangsausgleich ",$C$7)</f>
        <v>Definitiver Beitrag an die Gemeinde  aus dem Übergangsausgleich 2016</v>
      </c>
      <c r="C106" s="82"/>
      <c r="D106" s="82" t="e">
        <f>IF(E106&gt;0,"Fr.","")</f>
        <v>#N/A</v>
      </c>
      <c r="E106" s="83" t="e">
        <f>VLOOKUP($C$5,Basis!$B$5:$BC$81,10,FALSE)</f>
        <v>#N/A</v>
      </c>
      <c r="F106" s="82"/>
      <c r="U106" s="60"/>
    </row>
    <row r="107" spans="1:21" ht="30" customHeight="1" thickBot="1" x14ac:dyDescent="0.25"/>
    <row r="108" spans="1:21" s="2" customFormat="1" ht="22.5" customHeight="1" thickBot="1" x14ac:dyDescent="0.25">
      <c r="A108" s="84"/>
      <c r="B108" s="84" t="s">
        <v>235</v>
      </c>
      <c r="C108" s="84"/>
      <c r="D108" s="84"/>
      <c r="E108" s="84"/>
      <c r="F108" s="84"/>
      <c r="U108" s="66"/>
    </row>
    <row r="109" spans="1:21" ht="5.25" customHeight="1" x14ac:dyDescent="0.2"/>
    <row r="110" spans="1:21" s="1" customFormat="1" ht="17.25" customHeight="1" x14ac:dyDescent="0.2">
      <c r="A110" s="13"/>
      <c r="B110" s="13" t="s">
        <v>156</v>
      </c>
      <c r="C110" s="13"/>
      <c r="D110" s="13"/>
      <c r="E110" s="85" t="e">
        <f>E19</f>
        <v>#N/A</v>
      </c>
      <c r="F110" s="13"/>
      <c r="U110" s="58"/>
    </row>
    <row r="111" spans="1:21" s="1" customFormat="1" ht="17.25" customHeight="1" x14ac:dyDescent="0.2">
      <c r="A111" s="86"/>
      <c r="B111" s="86" t="s">
        <v>157</v>
      </c>
      <c r="C111" s="86"/>
      <c r="D111" s="86"/>
      <c r="E111" s="87" t="e">
        <f>E29</f>
        <v>#N/A</v>
      </c>
      <c r="F111" s="86"/>
      <c r="U111" s="58"/>
    </row>
    <row r="112" spans="1:21" s="1" customFormat="1" ht="17.25" customHeight="1" x14ac:dyDescent="0.2">
      <c r="A112" s="86"/>
      <c r="B112" s="86" t="s">
        <v>158</v>
      </c>
      <c r="C112" s="86"/>
      <c r="D112" s="86"/>
      <c r="E112" s="87" t="e">
        <f>E85</f>
        <v>#N/A</v>
      </c>
      <c r="F112" s="86"/>
      <c r="U112" s="58"/>
    </row>
    <row r="113" spans="1:21" s="1" customFormat="1" ht="17.25" customHeight="1" x14ac:dyDescent="0.2">
      <c r="A113" s="86"/>
      <c r="B113" s="86" t="s">
        <v>159</v>
      </c>
      <c r="C113" s="86"/>
      <c r="D113" s="86"/>
      <c r="E113" s="87" t="e">
        <f>E63</f>
        <v>#N/A</v>
      </c>
      <c r="F113" s="86"/>
      <c r="U113" s="58"/>
    </row>
    <row r="114" spans="1:21" s="1" customFormat="1" ht="17.25" customHeight="1" x14ac:dyDescent="0.2">
      <c r="A114" s="88"/>
      <c r="B114" s="88" t="s">
        <v>160</v>
      </c>
      <c r="C114" s="88"/>
      <c r="D114" s="88"/>
      <c r="E114" s="89" t="e">
        <f>E91</f>
        <v>#N/A</v>
      </c>
      <c r="F114" s="88"/>
      <c r="U114" s="58"/>
    </row>
    <row r="115" spans="1:21" s="1" customFormat="1" ht="17.25" customHeight="1" x14ac:dyDescent="0.2">
      <c r="A115" s="90"/>
      <c r="B115" s="90" t="s">
        <v>161</v>
      </c>
      <c r="C115" s="90"/>
      <c r="D115" s="90"/>
      <c r="E115" s="91" t="e">
        <f>IF(E100&gt;E102,E100,0)</f>
        <v>#N/A</v>
      </c>
      <c r="F115" s="90"/>
      <c r="U115" s="58"/>
    </row>
    <row r="116" spans="1:21" s="1" customFormat="1" ht="17.25" customHeight="1" x14ac:dyDescent="0.2">
      <c r="A116" s="92"/>
      <c r="B116" s="92" t="s">
        <v>162</v>
      </c>
      <c r="C116" s="92"/>
      <c r="D116" s="92"/>
      <c r="E116" s="93" t="e">
        <f>IF(E102&gt;E100,E102,0)</f>
        <v>#N/A</v>
      </c>
      <c r="F116" s="92"/>
      <c r="U116" s="58"/>
    </row>
    <row r="117" spans="1:21" s="1" customFormat="1" ht="17.25" customHeight="1" x14ac:dyDescent="0.2">
      <c r="A117" s="94"/>
      <c r="B117" s="94" t="s">
        <v>163</v>
      </c>
      <c r="C117" s="94"/>
      <c r="D117" s="94"/>
      <c r="E117" s="95" t="e">
        <f>E106</f>
        <v>#N/A</v>
      </c>
      <c r="F117" s="94"/>
      <c r="U117" s="58"/>
    </row>
    <row r="118" spans="1:21" s="4" customFormat="1" ht="22.5" customHeight="1" x14ac:dyDescent="0.2">
      <c r="A118" s="96"/>
      <c r="B118" s="96" t="s">
        <v>236</v>
      </c>
      <c r="C118" s="96"/>
      <c r="D118" s="96"/>
      <c r="E118" s="97" t="e">
        <f>SUM(E110:E117)</f>
        <v>#N/A</v>
      </c>
      <c r="F118" s="96"/>
      <c r="U118" s="60"/>
    </row>
    <row r="119" spans="1:21" s="1" customFormat="1" ht="17.25" customHeight="1" x14ac:dyDescent="0.2">
      <c r="A119" s="98"/>
      <c r="B119" s="98" t="s">
        <v>164</v>
      </c>
      <c r="C119" s="98"/>
      <c r="D119" s="98"/>
      <c r="E119" s="99" t="e">
        <f>E118/VLOOKUP($C$5,Basis!$B$5:$BC$81,14,FALSE)</f>
        <v>#N/A</v>
      </c>
      <c r="F119" s="98"/>
      <c r="U119" s="58"/>
    </row>
    <row r="120" spans="1:21" hidden="1" x14ac:dyDescent="0.2"/>
    <row r="121" spans="1:21" hidden="1" x14ac:dyDescent="0.2"/>
  </sheetData>
  <sheetProtection algorithmName="SHA-512" hashValue="miexKrobEHlgrtlBhS2XpqUjFky/S4AeEMe+iAS8zGuUKPUBaAjmTBnwO7oj38eDH+eiN7emGK9VAk2PTiKU8A==" saltValue="c/EgjGNtgRZzDF+5SY9BFw==" spinCount="100000" sheet="1" objects="1" scenarios="1" selectLockedCells="1"/>
  <sortState ref="U1:U77">
    <sortCondition ref="U1:U77"/>
  </sortState>
  <dataValidations count="1">
    <dataValidation type="list" allowBlank="1" showInputMessage="1" showErrorMessage="1" sqref="C5">
      <formula1>$U$1:$U$77</formula1>
    </dataValidation>
  </dataValidations>
  <pageMargins left="0.23622047244094491" right="0.19685039370078741" top="0.19685039370078741" bottom="0.3" header="0.19685039370078741" footer="0.15748031496062992"/>
  <pageSetup paperSize="9" scale="70" fitToHeight="0" orientation="landscape" r:id="rId1"/>
  <headerFooter>
    <oddFooter>&amp;C&amp;8Seite - &amp;P -</oddFoot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ColWidth="0" defaultRowHeight="11.25" zeroHeight="1" x14ac:dyDescent="0.2"/>
  <cols>
    <col min="1" max="1" width="3.42578125" style="102" bestFit="1" customWidth="1"/>
    <col min="2" max="2" width="19" style="115" customWidth="1"/>
    <col min="3" max="6" width="9.5703125" style="102" customWidth="1"/>
    <col min="7" max="8" width="8.7109375" style="102" customWidth="1"/>
    <col min="9" max="9" width="8.7109375" style="102" bestFit="1" customWidth="1"/>
    <col min="10" max="11" width="8.7109375" style="102" customWidth="1"/>
    <col min="12" max="13" width="5.140625" style="102" bestFit="1" customWidth="1"/>
    <col min="14" max="15" width="7.42578125" style="102" bestFit="1" customWidth="1"/>
    <col min="16" max="17" width="10.42578125" style="102" bestFit="1" customWidth="1"/>
    <col min="18" max="18" width="7.28515625" style="102" bestFit="1" customWidth="1"/>
    <col min="19" max="19" width="11.42578125" style="102" customWidth="1"/>
    <col min="20" max="20" width="11.7109375" style="102" bestFit="1" customWidth="1"/>
    <col min="21" max="21" width="10.85546875" style="102" bestFit="1" customWidth="1"/>
    <col min="22" max="23" width="11.7109375" style="102" bestFit="1" customWidth="1"/>
    <col min="24" max="25" width="10.85546875" style="102" bestFit="1" customWidth="1"/>
    <col min="26" max="27" width="11.7109375" style="102" bestFit="1" customWidth="1"/>
    <col min="28" max="28" width="7.85546875" style="102" customWidth="1"/>
    <col min="29" max="33" width="7.140625" style="102" customWidth="1"/>
    <col min="34" max="34" width="9.42578125" style="102" bestFit="1" customWidth="1"/>
    <col min="35" max="35" width="7.85546875" style="102" customWidth="1"/>
    <col min="36" max="40" width="7.140625" style="102" customWidth="1"/>
    <col min="41" max="41" width="9.42578125" style="102" bestFit="1" customWidth="1"/>
    <col min="42" max="42" width="7.85546875" style="102" customWidth="1"/>
    <col min="43" max="47" width="7.140625" style="102" customWidth="1"/>
    <col min="48" max="49" width="9.42578125" style="102" customWidth="1"/>
    <col min="50" max="50" width="5.42578125" style="102" customWidth="1"/>
    <col min="51" max="51" width="11.5703125" style="102" customWidth="1"/>
    <col min="52" max="52" width="7.7109375" style="102" customWidth="1"/>
    <col min="53" max="54" width="9.42578125" style="102" customWidth="1"/>
    <col min="55" max="56" width="7.28515625" style="102" customWidth="1"/>
    <col min="57" max="58" width="11.42578125" style="102" customWidth="1"/>
    <col min="59" max="16384" width="11.42578125" style="102" hidden="1"/>
  </cols>
  <sheetData>
    <row r="1" spans="1:58" s="100" customFormat="1" ht="15" x14ac:dyDescent="0.25">
      <c r="A1" s="12" t="s">
        <v>234</v>
      </c>
      <c r="B1" s="124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25"/>
      <c r="BE1" s="125"/>
      <c r="BF1" s="125"/>
    </row>
    <row r="2" spans="1:58" s="101" customFormat="1" ht="12.75" x14ac:dyDescent="0.2">
      <c r="A2" s="126" t="s">
        <v>165</v>
      </c>
      <c r="B2" s="127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</row>
    <row r="3" spans="1:58" x14ac:dyDescent="0.2">
      <c r="A3" s="129"/>
      <c r="B3" s="130"/>
      <c r="C3" s="131" t="s">
        <v>166</v>
      </c>
      <c r="D3" s="132"/>
      <c r="E3" s="132"/>
      <c r="F3" s="132"/>
      <c r="G3" s="133"/>
      <c r="H3" s="133"/>
      <c r="I3" s="132"/>
      <c r="J3" s="132"/>
      <c r="K3" s="134"/>
      <c r="L3" s="135" t="s">
        <v>167</v>
      </c>
      <c r="M3" s="136"/>
      <c r="N3" s="136"/>
      <c r="O3" s="136"/>
      <c r="P3" s="137" t="s">
        <v>168</v>
      </c>
      <c r="Q3" s="138" t="s">
        <v>169</v>
      </c>
      <c r="R3" s="133"/>
      <c r="S3" s="138" t="s">
        <v>170</v>
      </c>
      <c r="T3" s="133"/>
      <c r="U3" s="133"/>
      <c r="V3" s="133"/>
      <c r="W3" s="133"/>
      <c r="X3" s="133"/>
      <c r="Y3" s="133"/>
      <c r="Z3" s="133"/>
      <c r="AA3" s="136"/>
      <c r="AB3" s="138" t="s">
        <v>213</v>
      </c>
      <c r="AC3" s="133"/>
      <c r="AD3" s="133"/>
      <c r="AE3" s="133"/>
      <c r="AF3" s="133"/>
      <c r="AG3" s="133"/>
      <c r="AH3" s="133"/>
      <c r="AI3" s="138" t="s">
        <v>214</v>
      </c>
      <c r="AJ3" s="133"/>
      <c r="AK3" s="133"/>
      <c r="AL3" s="133"/>
      <c r="AM3" s="133"/>
      <c r="AN3" s="133"/>
      <c r="AO3" s="133"/>
      <c r="AP3" s="138" t="s">
        <v>215</v>
      </c>
      <c r="AQ3" s="133"/>
      <c r="AR3" s="133"/>
      <c r="AS3" s="133"/>
      <c r="AT3" s="133"/>
      <c r="AU3" s="133"/>
      <c r="AV3" s="133"/>
      <c r="AW3" s="133"/>
      <c r="AX3" s="138" t="s">
        <v>171</v>
      </c>
      <c r="AY3" s="133"/>
      <c r="AZ3" s="133"/>
      <c r="BA3" s="133"/>
      <c r="BB3" s="133"/>
      <c r="BC3" s="133"/>
      <c r="BD3" s="139"/>
      <c r="BE3" s="139"/>
      <c r="BF3" s="140"/>
    </row>
    <row r="4" spans="1:58" s="109" customFormat="1" ht="75.75" customHeight="1" x14ac:dyDescent="0.2">
      <c r="A4" s="103" t="s">
        <v>0</v>
      </c>
      <c r="B4" s="104" t="s">
        <v>1</v>
      </c>
      <c r="C4" s="105" t="s">
        <v>2</v>
      </c>
      <c r="D4" s="106" t="s">
        <v>3</v>
      </c>
      <c r="E4" s="106" t="s">
        <v>4</v>
      </c>
      <c r="F4" s="106" t="s">
        <v>5</v>
      </c>
      <c r="G4" s="141" t="s">
        <v>20</v>
      </c>
      <c r="H4" s="141" t="s">
        <v>21</v>
      </c>
      <c r="I4" s="106" t="s">
        <v>172</v>
      </c>
      <c r="J4" s="106" t="s">
        <v>173</v>
      </c>
      <c r="K4" s="107" t="s">
        <v>174</v>
      </c>
      <c r="L4" s="142" t="s">
        <v>211</v>
      </c>
      <c r="M4" s="141" t="s">
        <v>216</v>
      </c>
      <c r="N4" s="141" t="s">
        <v>212</v>
      </c>
      <c r="O4" s="141" t="s">
        <v>217</v>
      </c>
      <c r="P4" s="143" t="s">
        <v>218</v>
      </c>
      <c r="Q4" s="142" t="s">
        <v>219</v>
      </c>
      <c r="R4" s="141" t="s">
        <v>220</v>
      </c>
      <c r="S4" s="142" t="s">
        <v>175</v>
      </c>
      <c r="T4" s="141" t="s">
        <v>6</v>
      </c>
      <c r="U4" s="144" t="s">
        <v>7</v>
      </c>
      <c r="V4" s="142" t="s">
        <v>8</v>
      </c>
      <c r="W4" s="141" t="s">
        <v>9</v>
      </c>
      <c r="X4" s="141" t="s">
        <v>10</v>
      </c>
      <c r="Y4" s="144" t="s">
        <v>11</v>
      </c>
      <c r="Z4" s="142" t="s">
        <v>12</v>
      </c>
      <c r="AA4" s="141" t="s">
        <v>221</v>
      </c>
      <c r="AB4" s="142" t="s">
        <v>13</v>
      </c>
      <c r="AC4" s="141" t="s">
        <v>14</v>
      </c>
      <c r="AD4" s="141" t="s">
        <v>15</v>
      </c>
      <c r="AE4" s="141" t="s">
        <v>16</v>
      </c>
      <c r="AF4" s="141" t="s">
        <v>176</v>
      </c>
      <c r="AG4" s="144" t="s">
        <v>177</v>
      </c>
      <c r="AH4" s="143" t="s">
        <v>17</v>
      </c>
      <c r="AI4" s="142" t="s">
        <v>13</v>
      </c>
      <c r="AJ4" s="141" t="s">
        <v>14</v>
      </c>
      <c r="AK4" s="141" t="s">
        <v>15</v>
      </c>
      <c r="AL4" s="141" t="s">
        <v>16</v>
      </c>
      <c r="AM4" s="141" t="s">
        <v>176</v>
      </c>
      <c r="AN4" s="144" t="s">
        <v>177</v>
      </c>
      <c r="AO4" s="143" t="s">
        <v>17</v>
      </c>
      <c r="AP4" s="142" t="s">
        <v>13</v>
      </c>
      <c r="AQ4" s="141" t="s">
        <v>14</v>
      </c>
      <c r="AR4" s="141" t="s">
        <v>15</v>
      </c>
      <c r="AS4" s="141" t="s">
        <v>16</v>
      </c>
      <c r="AT4" s="141" t="s">
        <v>176</v>
      </c>
      <c r="AU4" s="144" t="s">
        <v>177</v>
      </c>
      <c r="AV4" s="143" t="s">
        <v>17</v>
      </c>
      <c r="AW4" s="142" t="s">
        <v>178</v>
      </c>
      <c r="AX4" s="142" t="s">
        <v>18</v>
      </c>
      <c r="AY4" s="144" t="s">
        <v>179</v>
      </c>
      <c r="AZ4" s="142" t="s">
        <v>19</v>
      </c>
      <c r="BA4" s="141" t="s">
        <v>180</v>
      </c>
      <c r="BB4" s="141" t="s">
        <v>181</v>
      </c>
      <c r="BC4" s="144" t="s">
        <v>222</v>
      </c>
      <c r="BD4" s="108" t="s">
        <v>223</v>
      </c>
      <c r="BE4" s="108" t="s">
        <v>224</v>
      </c>
      <c r="BF4" s="108" t="s">
        <v>225</v>
      </c>
    </row>
    <row r="5" spans="1:58" x14ac:dyDescent="0.2">
      <c r="A5" s="110">
        <v>1</v>
      </c>
      <c r="B5" s="145" t="s">
        <v>22</v>
      </c>
      <c r="C5" s="146">
        <v>0</v>
      </c>
      <c r="D5" s="146">
        <v>0</v>
      </c>
      <c r="E5" s="146">
        <v>95500</v>
      </c>
      <c r="F5" s="147">
        <v>10959800</v>
      </c>
      <c r="G5" s="148">
        <v>7559000</v>
      </c>
      <c r="H5" s="148">
        <v>9070800</v>
      </c>
      <c r="I5" s="147">
        <v>0</v>
      </c>
      <c r="J5" s="147">
        <v>0</v>
      </c>
      <c r="K5" s="149">
        <v>0</v>
      </c>
      <c r="L5" s="150">
        <v>1.44</v>
      </c>
      <c r="M5" s="150">
        <v>1.44</v>
      </c>
      <c r="N5" s="147">
        <v>74581</v>
      </c>
      <c r="O5" s="147">
        <v>75310</v>
      </c>
      <c r="P5" s="151">
        <v>10111.6638</v>
      </c>
      <c r="Q5" s="152">
        <v>6526</v>
      </c>
      <c r="R5" s="148">
        <v>238</v>
      </c>
      <c r="S5" s="153">
        <v>4019398.75</v>
      </c>
      <c r="T5" s="154">
        <v>381831</v>
      </c>
      <c r="U5" s="155">
        <v>265523</v>
      </c>
      <c r="V5" s="153">
        <v>22640783</v>
      </c>
      <c r="W5" s="154">
        <v>728142</v>
      </c>
      <c r="X5" s="154">
        <v>1970888</v>
      </c>
      <c r="Y5" s="155">
        <v>3409000</v>
      </c>
      <c r="Z5" s="156">
        <v>11935448.550000001</v>
      </c>
      <c r="AA5" s="147">
        <v>87055</v>
      </c>
      <c r="AB5" s="157">
        <v>2034.963652675526</v>
      </c>
      <c r="AC5" s="157">
        <v>130.88587888783113</v>
      </c>
      <c r="AD5" s="157">
        <v>342.76430636936129</v>
      </c>
      <c r="AE5" s="157">
        <v>102.80474890158588</v>
      </c>
      <c r="AF5" s="157">
        <v>64.070754392316189</v>
      </c>
      <c r="AG5" s="157">
        <v>40.292805138037835</v>
      </c>
      <c r="AH5" s="158">
        <v>2715.7821463646583</v>
      </c>
      <c r="AI5" s="157">
        <v>2142.7123890070188</v>
      </c>
      <c r="AJ5" s="157">
        <v>135.41751471694772</v>
      </c>
      <c r="AK5" s="157">
        <v>320.60190767051745</v>
      </c>
      <c r="AL5" s="157">
        <v>106.29858894478836</v>
      </c>
      <c r="AM5" s="157">
        <v>61.920493515690694</v>
      </c>
      <c r="AN5" s="157">
        <v>58.646446687026959</v>
      </c>
      <c r="AO5" s="158">
        <v>2825.59734054199</v>
      </c>
      <c r="AP5" s="159">
        <v>2088.8380208412723</v>
      </c>
      <c r="AQ5" s="160">
        <v>133.15169680238944</v>
      </c>
      <c r="AR5" s="136">
        <v>331.68310701993937</v>
      </c>
      <c r="AS5" s="136">
        <v>104.55166892318712</v>
      </c>
      <c r="AT5" s="160">
        <v>62.995623954003442</v>
      </c>
      <c r="AU5" s="161">
        <v>49.469625912532393</v>
      </c>
      <c r="AV5" s="158">
        <v>2770.6897434533244</v>
      </c>
      <c r="AW5" s="153">
        <v>2396.5932974794609</v>
      </c>
      <c r="AX5" s="162">
        <v>0.94499999999999995</v>
      </c>
      <c r="AY5" s="163">
        <v>-0.44676209480574464</v>
      </c>
      <c r="AZ5" s="153">
        <v>1360.6194690265486</v>
      </c>
      <c r="BA5" s="160">
        <v>11984.261870282764</v>
      </c>
      <c r="BB5" s="160">
        <v>7150</v>
      </c>
      <c r="BC5" s="161">
        <v>9.804347826086957</v>
      </c>
      <c r="BD5" s="162">
        <v>1.0169999999999999</v>
      </c>
      <c r="BE5" s="164">
        <v>1.0349999999999999</v>
      </c>
      <c r="BF5" s="165">
        <v>1.0249999999999999</v>
      </c>
    </row>
    <row r="6" spans="1:58" x14ac:dyDescent="0.2">
      <c r="A6" s="112">
        <v>2</v>
      </c>
      <c r="B6" s="166" t="s">
        <v>23</v>
      </c>
      <c r="C6" s="146">
        <v>1940100</v>
      </c>
      <c r="D6" s="146">
        <v>0</v>
      </c>
      <c r="E6" s="146">
        <v>40600</v>
      </c>
      <c r="F6" s="167">
        <v>222400</v>
      </c>
      <c r="G6" s="168"/>
      <c r="H6" s="168"/>
      <c r="I6" s="167">
        <v>0</v>
      </c>
      <c r="J6" s="167">
        <v>0</v>
      </c>
      <c r="K6" s="169">
        <v>0</v>
      </c>
      <c r="L6" s="150">
        <v>1.4</v>
      </c>
      <c r="M6" s="150">
        <v>1.45</v>
      </c>
      <c r="N6" s="167">
        <v>9588</v>
      </c>
      <c r="O6" s="167">
        <v>9576</v>
      </c>
      <c r="P6" s="170">
        <v>1321.6764000000001</v>
      </c>
      <c r="Q6" s="171">
        <v>1073</v>
      </c>
      <c r="R6" s="125">
        <v>25</v>
      </c>
      <c r="S6" s="172">
        <v>305689.05</v>
      </c>
      <c r="T6" s="157">
        <v>8369.5</v>
      </c>
      <c r="U6" s="173">
        <v>12190.05</v>
      </c>
      <c r="V6" s="172">
        <v>1443912.32</v>
      </c>
      <c r="W6" s="157">
        <v>35397.449999999997</v>
      </c>
      <c r="X6" s="157">
        <v>185650.45</v>
      </c>
      <c r="Y6" s="173">
        <v>165567.70000000001</v>
      </c>
      <c r="Z6" s="156">
        <v>1485721.1</v>
      </c>
      <c r="AA6" s="167">
        <v>10773</v>
      </c>
      <c r="AB6" s="157">
        <v>1799.5093191066126</v>
      </c>
      <c r="AC6" s="157">
        <v>49.539337366152139</v>
      </c>
      <c r="AD6" s="157">
        <v>114.17775344180225</v>
      </c>
      <c r="AE6" s="157">
        <v>84.60184110375917</v>
      </c>
      <c r="AF6" s="157">
        <v>53.632537199276875</v>
      </c>
      <c r="AG6" s="157">
        <v>39.00705395633431</v>
      </c>
      <c r="AH6" s="156">
        <v>2140.4678421739372</v>
      </c>
      <c r="AI6" s="157">
        <v>1729.3066470826825</v>
      </c>
      <c r="AJ6" s="157">
        <v>47.09221665274297</v>
      </c>
      <c r="AK6" s="157">
        <v>121.07562656641603</v>
      </c>
      <c r="AL6" s="157">
        <v>87.637715035733777</v>
      </c>
      <c r="AM6" s="157">
        <v>62.220098858256748</v>
      </c>
      <c r="AN6" s="157">
        <v>60.283462127541078</v>
      </c>
      <c r="AO6" s="156">
        <v>2107.615766323373</v>
      </c>
      <c r="AP6" s="174">
        <v>1764.4079830946475</v>
      </c>
      <c r="AQ6" s="175">
        <v>48.315777009447558</v>
      </c>
      <c r="AR6" s="176">
        <v>117.62669000410915</v>
      </c>
      <c r="AS6" s="176">
        <v>86.119778069746474</v>
      </c>
      <c r="AT6" s="175">
        <v>57.926318028766815</v>
      </c>
      <c r="AU6" s="177">
        <v>49.645258041937694</v>
      </c>
      <c r="AV6" s="156">
        <v>2124.0418042486554</v>
      </c>
      <c r="AW6" s="172">
        <v>2396.5932974794609</v>
      </c>
      <c r="AX6" s="178">
        <v>0.94499999999999995</v>
      </c>
      <c r="AY6" s="179">
        <v>0</v>
      </c>
      <c r="AZ6" s="172">
        <v>1360.6194690265486</v>
      </c>
      <c r="BA6" s="175">
        <v>11984.261870282764</v>
      </c>
      <c r="BB6" s="175">
        <v>7150</v>
      </c>
      <c r="BC6" s="177">
        <v>9.804347826086957</v>
      </c>
      <c r="BD6" s="180"/>
      <c r="BE6" s="168"/>
      <c r="BF6" s="181"/>
    </row>
    <row r="7" spans="1:58" x14ac:dyDescent="0.2">
      <c r="A7" s="112">
        <v>3</v>
      </c>
      <c r="B7" s="166" t="s">
        <v>24</v>
      </c>
      <c r="C7" s="146">
        <v>361200</v>
      </c>
      <c r="D7" s="146">
        <v>532600</v>
      </c>
      <c r="E7" s="146">
        <v>301700</v>
      </c>
      <c r="F7" s="167">
        <v>33900</v>
      </c>
      <c r="G7" s="168"/>
      <c r="H7" s="168"/>
      <c r="I7" s="167">
        <v>0</v>
      </c>
      <c r="J7" s="167">
        <v>0</v>
      </c>
      <c r="K7" s="169">
        <v>0</v>
      </c>
      <c r="L7" s="150">
        <v>1.45</v>
      </c>
      <c r="M7" s="150">
        <v>1.45</v>
      </c>
      <c r="N7" s="167">
        <v>1223</v>
      </c>
      <c r="O7" s="167">
        <v>1225</v>
      </c>
      <c r="P7" s="170">
        <v>697.4860000000001</v>
      </c>
      <c r="Q7" s="171">
        <v>162</v>
      </c>
      <c r="R7" s="125">
        <v>1</v>
      </c>
      <c r="S7" s="172">
        <v>95630</v>
      </c>
      <c r="T7" s="157">
        <v>7317.85</v>
      </c>
      <c r="U7" s="173">
        <v>0</v>
      </c>
      <c r="V7" s="172">
        <v>1754.4</v>
      </c>
      <c r="W7" s="157">
        <v>0</v>
      </c>
      <c r="X7" s="157">
        <v>-518.4</v>
      </c>
      <c r="Y7" s="173">
        <v>485.6</v>
      </c>
      <c r="Z7" s="156">
        <v>86245.25</v>
      </c>
      <c r="AA7" s="167">
        <v>537</v>
      </c>
      <c r="AB7" s="157">
        <v>1604.6396955861517</v>
      </c>
      <c r="AC7" s="157">
        <v>37.222785500136276</v>
      </c>
      <c r="AD7" s="157">
        <v>43.799563913872994</v>
      </c>
      <c r="AE7" s="157">
        <v>89.013660871197501</v>
      </c>
      <c r="AF7" s="157">
        <v>47.529463068956119</v>
      </c>
      <c r="AG7" s="157">
        <v>137.4104388116653</v>
      </c>
      <c r="AH7" s="156">
        <v>1959.61560775198</v>
      </c>
      <c r="AI7" s="157">
        <v>1953.6948896945116</v>
      </c>
      <c r="AJ7" s="157">
        <v>35.558312925170078</v>
      </c>
      <c r="AK7" s="157">
        <v>32.352707482993203</v>
      </c>
      <c r="AL7" s="157">
        <v>94.28826238115694</v>
      </c>
      <c r="AM7" s="157">
        <v>51.873442176870746</v>
      </c>
      <c r="AN7" s="157">
        <v>-2.8336870748299319</v>
      </c>
      <c r="AO7" s="156">
        <v>2164.9339275858729</v>
      </c>
      <c r="AP7" s="174">
        <v>1779.1672926403317</v>
      </c>
      <c r="AQ7" s="175">
        <v>36.390549212653177</v>
      </c>
      <c r="AR7" s="176">
        <v>38.076135698433099</v>
      </c>
      <c r="AS7" s="176">
        <v>91.650961626177221</v>
      </c>
      <c r="AT7" s="175">
        <v>49.701452622913436</v>
      </c>
      <c r="AU7" s="177">
        <v>67.288375868417688</v>
      </c>
      <c r="AV7" s="156">
        <v>2062.274767668926</v>
      </c>
      <c r="AW7" s="172">
        <v>2396.5932974794609</v>
      </c>
      <c r="AX7" s="178">
        <v>0.94499999999999995</v>
      </c>
      <c r="AY7" s="179">
        <v>0</v>
      </c>
      <c r="AZ7" s="172">
        <v>1360.6194690265486</v>
      </c>
      <c r="BA7" s="175">
        <v>11984.261870282764</v>
      </c>
      <c r="BB7" s="175">
        <v>7150</v>
      </c>
      <c r="BC7" s="177">
        <v>9.804347826086957</v>
      </c>
      <c r="BD7" s="180"/>
      <c r="BE7" s="168"/>
      <c r="BF7" s="181"/>
    </row>
    <row r="8" spans="1:58" x14ac:dyDescent="0.2">
      <c r="A8" s="112">
        <v>4</v>
      </c>
      <c r="B8" s="166" t="s">
        <v>25</v>
      </c>
      <c r="C8" s="146">
        <v>701300</v>
      </c>
      <c r="D8" s="146">
        <v>767300</v>
      </c>
      <c r="E8" s="146">
        <v>458800</v>
      </c>
      <c r="F8" s="167">
        <v>7300</v>
      </c>
      <c r="G8" s="168"/>
      <c r="H8" s="168"/>
      <c r="I8" s="167">
        <v>0</v>
      </c>
      <c r="J8" s="167">
        <v>0</v>
      </c>
      <c r="K8" s="169">
        <v>0</v>
      </c>
      <c r="L8" s="150">
        <v>1.42</v>
      </c>
      <c r="M8" s="150">
        <v>1.42</v>
      </c>
      <c r="N8" s="167">
        <v>1167</v>
      </c>
      <c r="O8" s="167">
        <v>1165</v>
      </c>
      <c r="P8" s="170">
        <v>854.995</v>
      </c>
      <c r="Q8" s="171">
        <v>168</v>
      </c>
      <c r="R8" s="125">
        <v>4</v>
      </c>
      <c r="S8" s="172">
        <v>0</v>
      </c>
      <c r="T8" s="157">
        <v>0</v>
      </c>
      <c r="U8" s="173">
        <v>1820</v>
      </c>
      <c r="V8" s="172">
        <v>91642.2</v>
      </c>
      <c r="W8" s="157">
        <v>0</v>
      </c>
      <c r="X8" s="157">
        <v>15884</v>
      </c>
      <c r="Y8" s="173">
        <v>0</v>
      </c>
      <c r="Z8" s="156">
        <v>102570.35</v>
      </c>
      <c r="AA8" s="167">
        <v>1861</v>
      </c>
      <c r="AB8" s="157">
        <v>1538.4102252539062</v>
      </c>
      <c r="AC8" s="157">
        <v>35.550357040845476</v>
      </c>
      <c r="AD8" s="157">
        <v>108.02316481005428</v>
      </c>
      <c r="AE8" s="157">
        <v>84.268398754671367</v>
      </c>
      <c r="AF8" s="157">
        <v>50.20342759211654</v>
      </c>
      <c r="AG8" s="157">
        <v>20.969237360754072</v>
      </c>
      <c r="AH8" s="156">
        <v>1837.4248108123479</v>
      </c>
      <c r="AI8" s="157">
        <v>1604.6574414408853</v>
      </c>
      <c r="AJ8" s="157">
        <v>36.208011444921311</v>
      </c>
      <c r="AK8" s="157">
        <v>29.062174535050072</v>
      </c>
      <c r="AL8" s="157">
        <v>87.060213620039917</v>
      </c>
      <c r="AM8" s="157">
        <v>33.052360515021462</v>
      </c>
      <c r="AN8" s="157">
        <v>63.689785407725317</v>
      </c>
      <c r="AO8" s="156">
        <v>1853.7299869636433</v>
      </c>
      <c r="AP8" s="174">
        <v>1571.5338333473958</v>
      </c>
      <c r="AQ8" s="175">
        <v>35.879184242883397</v>
      </c>
      <c r="AR8" s="176">
        <v>68.542669672552179</v>
      </c>
      <c r="AS8" s="176">
        <v>85.664306187355635</v>
      </c>
      <c r="AT8" s="175">
        <v>41.627894053569001</v>
      </c>
      <c r="AU8" s="177">
        <v>42.329511384239694</v>
      </c>
      <c r="AV8" s="156">
        <v>1845.5773988879955</v>
      </c>
      <c r="AW8" s="172">
        <v>2396.5932974794609</v>
      </c>
      <c r="AX8" s="178">
        <v>0.94499999999999995</v>
      </c>
      <c r="AY8" s="179">
        <v>0</v>
      </c>
      <c r="AZ8" s="172">
        <v>1360.6194690265486</v>
      </c>
      <c r="BA8" s="175">
        <v>11984.261870282764</v>
      </c>
      <c r="BB8" s="175">
        <v>7150</v>
      </c>
      <c r="BC8" s="177">
        <v>9.804347826086957</v>
      </c>
      <c r="BD8" s="180"/>
      <c r="BE8" s="168"/>
      <c r="BF8" s="181"/>
    </row>
    <row r="9" spans="1:58" x14ac:dyDescent="0.2">
      <c r="A9" s="112">
        <v>5</v>
      </c>
      <c r="B9" s="166" t="s">
        <v>26</v>
      </c>
      <c r="C9" s="146">
        <v>0</v>
      </c>
      <c r="D9" s="146">
        <v>0</v>
      </c>
      <c r="E9" s="146">
        <v>0</v>
      </c>
      <c r="F9" s="167">
        <v>47700</v>
      </c>
      <c r="G9" s="168"/>
      <c r="H9" s="168"/>
      <c r="I9" s="167">
        <v>0</v>
      </c>
      <c r="J9" s="167">
        <v>0</v>
      </c>
      <c r="K9" s="169">
        <v>0</v>
      </c>
      <c r="L9" s="150">
        <v>0.9</v>
      </c>
      <c r="M9" s="150">
        <v>0.9</v>
      </c>
      <c r="N9" s="167">
        <v>3586</v>
      </c>
      <c r="O9" s="167">
        <v>3596</v>
      </c>
      <c r="P9" s="170">
        <v>1011.6058</v>
      </c>
      <c r="Q9" s="171">
        <v>452</v>
      </c>
      <c r="R9" s="125">
        <v>7</v>
      </c>
      <c r="S9" s="172">
        <v>178564</v>
      </c>
      <c r="T9" s="157">
        <v>0</v>
      </c>
      <c r="U9" s="173">
        <v>0</v>
      </c>
      <c r="V9" s="172">
        <v>-16041.45</v>
      </c>
      <c r="W9" s="157">
        <v>0</v>
      </c>
      <c r="X9" s="157">
        <v>7951.15</v>
      </c>
      <c r="Y9" s="173">
        <v>24055.65</v>
      </c>
      <c r="Z9" s="156">
        <v>361813.35</v>
      </c>
      <c r="AA9" s="167">
        <v>5088</v>
      </c>
      <c r="AB9" s="157">
        <v>3825.9086545354148</v>
      </c>
      <c r="AC9" s="157">
        <v>22.310485220301175</v>
      </c>
      <c r="AD9" s="157">
        <v>132.44314928425359</v>
      </c>
      <c r="AE9" s="157">
        <v>122.11124516180115</v>
      </c>
      <c r="AF9" s="157">
        <v>54.111173080498233</v>
      </c>
      <c r="AG9" s="157">
        <v>45.464612381483548</v>
      </c>
      <c r="AH9" s="156">
        <v>4202.3493196637519</v>
      </c>
      <c r="AI9" s="157">
        <v>3829.3956716293801</v>
      </c>
      <c r="AJ9" s="157">
        <v>26.544456803856132</v>
      </c>
      <c r="AK9" s="157">
        <v>147.8942528735632</v>
      </c>
      <c r="AL9" s="157">
        <v>126.28275338934156</v>
      </c>
      <c r="AM9" s="157">
        <v>46.419410456062288</v>
      </c>
      <c r="AN9" s="157">
        <v>88.048804226918804</v>
      </c>
      <c r="AO9" s="156">
        <v>4264.5853493791219</v>
      </c>
      <c r="AP9" s="174">
        <v>3827.6521630823972</v>
      </c>
      <c r="AQ9" s="175">
        <v>24.427471012078655</v>
      </c>
      <c r="AR9" s="176">
        <v>140.16870107890838</v>
      </c>
      <c r="AS9" s="176">
        <v>124.19699927557136</v>
      </c>
      <c r="AT9" s="175">
        <v>50.265291768280264</v>
      </c>
      <c r="AU9" s="177">
        <v>66.756708304201169</v>
      </c>
      <c r="AV9" s="156">
        <v>4233.4673345214369</v>
      </c>
      <c r="AW9" s="172">
        <v>2396.5932974794609</v>
      </c>
      <c r="AX9" s="178">
        <v>0.94499999999999995</v>
      </c>
      <c r="AY9" s="179">
        <v>-1</v>
      </c>
      <c r="AZ9" s="172">
        <v>1360.6194690265486</v>
      </c>
      <c r="BA9" s="175">
        <v>11984.261870282764</v>
      </c>
      <c r="BB9" s="175">
        <v>7150</v>
      </c>
      <c r="BC9" s="177">
        <v>9.804347826086957</v>
      </c>
      <c r="BD9" s="180"/>
      <c r="BE9" s="168"/>
      <c r="BF9" s="181"/>
    </row>
    <row r="10" spans="1:58" x14ac:dyDescent="0.2">
      <c r="A10" s="112">
        <v>6</v>
      </c>
      <c r="B10" s="166" t="s">
        <v>27</v>
      </c>
      <c r="C10" s="146">
        <v>0</v>
      </c>
      <c r="D10" s="146">
        <v>0</v>
      </c>
      <c r="E10" s="146">
        <v>37600</v>
      </c>
      <c r="F10" s="167">
        <v>18600</v>
      </c>
      <c r="G10" s="168"/>
      <c r="H10" s="168"/>
      <c r="I10" s="167">
        <v>0</v>
      </c>
      <c r="J10" s="167">
        <v>0</v>
      </c>
      <c r="K10" s="169">
        <v>0</v>
      </c>
      <c r="L10" s="150">
        <v>1.1399999999999999</v>
      </c>
      <c r="M10" s="150">
        <v>1.1399999999999999</v>
      </c>
      <c r="N10" s="167">
        <v>9267</v>
      </c>
      <c r="O10" s="167">
        <v>9210</v>
      </c>
      <c r="P10" s="170">
        <v>1211.6299999999999</v>
      </c>
      <c r="Q10" s="171">
        <v>964</v>
      </c>
      <c r="R10" s="125">
        <v>32</v>
      </c>
      <c r="S10" s="172">
        <v>2860.5</v>
      </c>
      <c r="T10" s="157">
        <v>4251</v>
      </c>
      <c r="U10" s="173">
        <v>12648</v>
      </c>
      <c r="V10" s="172">
        <v>482127</v>
      </c>
      <c r="W10" s="157">
        <v>-9838</v>
      </c>
      <c r="X10" s="157">
        <v>159380</v>
      </c>
      <c r="Y10" s="173">
        <v>85198</v>
      </c>
      <c r="Z10" s="156">
        <v>1089597.5</v>
      </c>
      <c r="AA10" s="167">
        <v>10728</v>
      </c>
      <c r="AB10" s="157">
        <v>1895.4977510210424</v>
      </c>
      <c r="AC10" s="157">
        <v>50.391280889176649</v>
      </c>
      <c r="AD10" s="157">
        <v>126.09509370166542</v>
      </c>
      <c r="AE10" s="157">
        <v>89.896052724143047</v>
      </c>
      <c r="AF10" s="157">
        <v>59.38524513506708</v>
      </c>
      <c r="AG10" s="157">
        <v>42.534171432682278</v>
      </c>
      <c r="AH10" s="156">
        <v>2263.7995949037768</v>
      </c>
      <c r="AI10" s="157">
        <v>2041.7155517085448</v>
      </c>
      <c r="AJ10" s="157">
        <v>59.595642417661949</v>
      </c>
      <c r="AK10" s="157">
        <v>186.79714078899747</v>
      </c>
      <c r="AL10" s="157">
        <v>95.085819367871864</v>
      </c>
      <c r="AM10" s="157">
        <v>49.89656170828809</v>
      </c>
      <c r="AN10" s="157">
        <v>60.920951863916031</v>
      </c>
      <c r="AO10" s="156">
        <v>2494.0116678552799</v>
      </c>
      <c r="AP10" s="174">
        <v>1968.6066513647936</v>
      </c>
      <c r="AQ10" s="175">
        <v>54.993461653419303</v>
      </c>
      <c r="AR10" s="176">
        <v>156.44611724533144</v>
      </c>
      <c r="AS10" s="176">
        <v>92.490936046007448</v>
      </c>
      <c r="AT10" s="175">
        <v>54.640903421677585</v>
      </c>
      <c r="AU10" s="177">
        <v>51.727561648299158</v>
      </c>
      <c r="AV10" s="156">
        <v>2378.9056313795286</v>
      </c>
      <c r="AW10" s="172">
        <v>2396.5932974794609</v>
      </c>
      <c r="AX10" s="178">
        <v>0.94499999999999995</v>
      </c>
      <c r="AY10" s="179">
        <v>-0.10078235563274408</v>
      </c>
      <c r="AZ10" s="172">
        <v>1360.6194690265486</v>
      </c>
      <c r="BA10" s="175">
        <v>11984.261870282764</v>
      </c>
      <c r="BB10" s="175">
        <v>7150</v>
      </c>
      <c r="BC10" s="177">
        <v>9.804347826086957</v>
      </c>
      <c r="BD10" s="180"/>
      <c r="BE10" s="168"/>
      <c r="BF10" s="181"/>
    </row>
    <row r="11" spans="1:58" x14ac:dyDescent="0.2">
      <c r="A11" s="112">
        <v>7</v>
      </c>
      <c r="B11" s="166" t="s">
        <v>28</v>
      </c>
      <c r="C11" s="146">
        <v>0</v>
      </c>
      <c r="D11" s="146">
        <v>0</v>
      </c>
      <c r="E11" s="146">
        <v>0</v>
      </c>
      <c r="F11" s="167">
        <v>38200</v>
      </c>
      <c r="G11" s="168"/>
      <c r="H11" s="168"/>
      <c r="I11" s="167">
        <v>0</v>
      </c>
      <c r="J11" s="167">
        <v>0</v>
      </c>
      <c r="K11" s="169">
        <v>0</v>
      </c>
      <c r="L11" s="150">
        <v>1.24</v>
      </c>
      <c r="M11" s="150">
        <v>1.24</v>
      </c>
      <c r="N11" s="167">
        <v>3486</v>
      </c>
      <c r="O11" s="167">
        <v>3471</v>
      </c>
      <c r="P11" s="170">
        <v>577.21100000000001</v>
      </c>
      <c r="Q11" s="171">
        <v>373</v>
      </c>
      <c r="R11" s="125">
        <v>5</v>
      </c>
      <c r="S11" s="172">
        <v>1491.75</v>
      </c>
      <c r="T11" s="157">
        <v>0</v>
      </c>
      <c r="U11" s="173">
        <v>14338.9</v>
      </c>
      <c r="V11" s="172">
        <v>597085.85</v>
      </c>
      <c r="W11" s="157">
        <v>0</v>
      </c>
      <c r="X11" s="157">
        <v>-2099.65</v>
      </c>
      <c r="Y11" s="173">
        <v>20978.5</v>
      </c>
      <c r="Z11" s="156">
        <v>498147.30000000005</v>
      </c>
      <c r="AA11" s="167">
        <v>3224</v>
      </c>
      <c r="AB11" s="157">
        <v>1898.955067218234</v>
      </c>
      <c r="AC11" s="157">
        <v>119.43734939759034</v>
      </c>
      <c r="AD11" s="157">
        <v>200.91701090074585</v>
      </c>
      <c r="AE11" s="157">
        <v>102.78808406749708</v>
      </c>
      <c r="AF11" s="157">
        <v>78.659667240390135</v>
      </c>
      <c r="AG11" s="157">
        <v>55.104675846242117</v>
      </c>
      <c r="AH11" s="156">
        <v>2455.8618546706998</v>
      </c>
      <c r="AI11" s="157">
        <v>1845.1423516141954</v>
      </c>
      <c r="AJ11" s="157">
        <v>142.28610390857583</v>
      </c>
      <c r="AK11" s="157">
        <v>236.88701622971288</v>
      </c>
      <c r="AL11" s="157">
        <v>111.51021695022487</v>
      </c>
      <c r="AM11" s="157">
        <v>114.58369346009795</v>
      </c>
      <c r="AN11" s="157">
        <v>96.777902621722859</v>
      </c>
      <c r="AO11" s="156">
        <v>2547.1872847845293</v>
      </c>
      <c r="AP11" s="174">
        <v>1872.0487094162147</v>
      </c>
      <c r="AQ11" s="175">
        <v>130.86172665308308</v>
      </c>
      <c r="AR11" s="176">
        <v>218.90201356522937</v>
      </c>
      <c r="AS11" s="176">
        <v>107.14915050886097</v>
      </c>
      <c r="AT11" s="175">
        <v>96.621680350244048</v>
      </c>
      <c r="AU11" s="177">
        <v>75.941289233982488</v>
      </c>
      <c r="AV11" s="156">
        <v>2501.5245697276146</v>
      </c>
      <c r="AW11" s="172">
        <v>2396.5932974794609</v>
      </c>
      <c r="AX11" s="178">
        <v>0.94499999999999995</v>
      </c>
      <c r="AY11" s="179">
        <v>-0.20906563461203603</v>
      </c>
      <c r="AZ11" s="172">
        <v>1360.6194690265486</v>
      </c>
      <c r="BA11" s="175">
        <v>11984.261870282764</v>
      </c>
      <c r="BB11" s="175">
        <v>7150</v>
      </c>
      <c r="BC11" s="177">
        <v>9.804347826086957</v>
      </c>
      <c r="BD11" s="180"/>
      <c r="BE11" s="168"/>
      <c r="BF11" s="181"/>
    </row>
    <row r="12" spans="1:58" x14ac:dyDescent="0.2">
      <c r="A12" s="112">
        <v>8</v>
      </c>
      <c r="B12" s="166" t="s">
        <v>29</v>
      </c>
      <c r="C12" s="146">
        <v>0</v>
      </c>
      <c r="D12" s="146">
        <v>78900</v>
      </c>
      <c r="E12" s="146">
        <v>209900</v>
      </c>
      <c r="F12" s="167">
        <v>0</v>
      </c>
      <c r="G12" s="168"/>
      <c r="H12" s="168"/>
      <c r="I12" s="167">
        <v>0</v>
      </c>
      <c r="J12" s="167">
        <v>0</v>
      </c>
      <c r="K12" s="169">
        <v>0</v>
      </c>
      <c r="L12" s="150">
        <v>1.28</v>
      </c>
      <c r="M12" s="150">
        <v>1.28</v>
      </c>
      <c r="N12" s="167">
        <v>838</v>
      </c>
      <c r="O12" s="167">
        <v>832</v>
      </c>
      <c r="P12" s="170">
        <v>274.279</v>
      </c>
      <c r="Q12" s="171">
        <v>113</v>
      </c>
      <c r="R12" s="125">
        <v>1</v>
      </c>
      <c r="S12" s="172">
        <v>0</v>
      </c>
      <c r="T12" s="157">
        <v>0</v>
      </c>
      <c r="U12" s="173">
        <v>0</v>
      </c>
      <c r="V12" s="172">
        <v>81627.7</v>
      </c>
      <c r="W12" s="157">
        <v>0</v>
      </c>
      <c r="X12" s="157">
        <v>22100</v>
      </c>
      <c r="Y12" s="173">
        <v>0</v>
      </c>
      <c r="Z12" s="156">
        <v>61467.25</v>
      </c>
      <c r="AA12" s="167">
        <v>266</v>
      </c>
      <c r="AB12" s="157">
        <v>1981.8227957722468</v>
      </c>
      <c r="AC12" s="157">
        <v>22.746658711217183</v>
      </c>
      <c r="AD12" s="157">
        <v>28.159785202863969</v>
      </c>
      <c r="AE12" s="157">
        <v>93.66821682795603</v>
      </c>
      <c r="AF12" s="157">
        <v>130.79355608591885</v>
      </c>
      <c r="AG12" s="157">
        <v>77.795823389021479</v>
      </c>
      <c r="AH12" s="156">
        <v>2334.9868359892239</v>
      </c>
      <c r="AI12" s="157">
        <v>2153.4013478538527</v>
      </c>
      <c r="AJ12" s="157">
        <v>29.187379807692313</v>
      </c>
      <c r="AK12" s="157">
        <v>49.58349358974359</v>
      </c>
      <c r="AL12" s="157">
        <v>102.1080658491977</v>
      </c>
      <c r="AM12" s="157">
        <v>67.341987179487177</v>
      </c>
      <c r="AN12" s="157">
        <v>80.879407051282058</v>
      </c>
      <c r="AO12" s="156">
        <v>2482.5016813312559</v>
      </c>
      <c r="AP12" s="174">
        <v>2067.6120718130496</v>
      </c>
      <c r="AQ12" s="175">
        <v>25.967019259454748</v>
      </c>
      <c r="AR12" s="176">
        <v>38.871639396303777</v>
      </c>
      <c r="AS12" s="176">
        <v>97.888141338576872</v>
      </c>
      <c r="AT12" s="175">
        <v>99.067771632703014</v>
      </c>
      <c r="AU12" s="177">
        <v>79.337615220151775</v>
      </c>
      <c r="AV12" s="156">
        <v>2408.7442586602401</v>
      </c>
      <c r="AW12" s="172">
        <v>2396.5932974794609</v>
      </c>
      <c r="AX12" s="178">
        <v>0.94499999999999995</v>
      </c>
      <c r="AY12" s="179">
        <v>-0.12713248103526775</v>
      </c>
      <c r="AZ12" s="172">
        <v>1360.6194690265486</v>
      </c>
      <c r="BA12" s="175">
        <v>11984.261870282764</v>
      </c>
      <c r="BB12" s="175">
        <v>7150</v>
      </c>
      <c r="BC12" s="177">
        <v>9.804347826086957</v>
      </c>
      <c r="BD12" s="180"/>
      <c r="BE12" s="168"/>
      <c r="BF12" s="181"/>
    </row>
    <row r="13" spans="1:58" x14ac:dyDescent="0.2">
      <c r="A13" s="112">
        <v>9</v>
      </c>
      <c r="B13" s="166" t="s">
        <v>30</v>
      </c>
      <c r="C13" s="146">
        <v>0</v>
      </c>
      <c r="D13" s="146">
        <v>0</v>
      </c>
      <c r="E13" s="146">
        <v>32500</v>
      </c>
      <c r="F13" s="167">
        <v>5100</v>
      </c>
      <c r="G13" s="168"/>
      <c r="H13" s="168"/>
      <c r="I13" s="167">
        <v>0</v>
      </c>
      <c r="J13" s="167">
        <v>0</v>
      </c>
      <c r="K13" s="169">
        <v>0</v>
      </c>
      <c r="L13" s="150">
        <v>0.9</v>
      </c>
      <c r="M13" s="150">
        <v>0.9</v>
      </c>
      <c r="N13" s="167">
        <v>1316</v>
      </c>
      <c r="O13" s="167">
        <v>1338</v>
      </c>
      <c r="P13" s="170">
        <v>210.18600000000001</v>
      </c>
      <c r="Q13" s="171">
        <v>174</v>
      </c>
      <c r="R13" s="125">
        <v>3</v>
      </c>
      <c r="S13" s="172">
        <v>0</v>
      </c>
      <c r="T13" s="157">
        <v>11166</v>
      </c>
      <c r="U13" s="173">
        <v>0</v>
      </c>
      <c r="V13" s="172">
        <v>40981</v>
      </c>
      <c r="W13" s="157">
        <v>0</v>
      </c>
      <c r="X13" s="157">
        <v>12098</v>
      </c>
      <c r="Y13" s="173">
        <v>0</v>
      </c>
      <c r="Z13" s="156">
        <v>149216.65</v>
      </c>
      <c r="AA13" s="167">
        <v>1802</v>
      </c>
      <c r="AB13" s="157">
        <v>2720.110322204348</v>
      </c>
      <c r="AC13" s="157">
        <v>43.174645390070928</v>
      </c>
      <c r="AD13" s="157">
        <v>303.58105369807498</v>
      </c>
      <c r="AE13" s="157">
        <v>120.05371185789564</v>
      </c>
      <c r="AF13" s="157">
        <v>103.12431610942249</v>
      </c>
      <c r="AG13" s="157">
        <v>85.955319148936184</v>
      </c>
      <c r="AH13" s="156">
        <v>3375.9993684087481</v>
      </c>
      <c r="AI13" s="157">
        <v>2571.1389400664198</v>
      </c>
      <c r="AJ13" s="157">
        <v>44.315047334329847</v>
      </c>
      <c r="AK13" s="157">
        <v>280.46723966118589</v>
      </c>
      <c r="AL13" s="157">
        <v>125.73233451024508</v>
      </c>
      <c r="AM13" s="157">
        <v>70.256601893373187</v>
      </c>
      <c r="AN13" s="157">
        <v>76.431813652217244</v>
      </c>
      <c r="AO13" s="156">
        <v>3168.341977117771</v>
      </c>
      <c r="AP13" s="174">
        <v>2645.6246311353839</v>
      </c>
      <c r="AQ13" s="175">
        <v>43.744846362200391</v>
      </c>
      <c r="AR13" s="176">
        <v>292.02414667963046</v>
      </c>
      <c r="AS13" s="176">
        <v>122.89302318407036</v>
      </c>
      <c r="AT13" s="175">
        <v>86.690459001397841</v>
      </c>
      <c r="AU13" s="177">
        <v>81.193566400576714</v>
      </c>
      <c r="AV13" s="156">
        <v>3272.17067276326</v>
      </c>
      <c r="AW13" s="172">
        <v>2396.5932974794609</v>
      </c>
      <c r="AX13" s="178">
        <v>0.94499999999999995</v>
      </c>
      <c r="AY13" s="179">
        <v>-0.88961374645772617</v>
      </c>
      <c r="AZ13" s="172">
        <v>1360.6194690265486</v>
      </c>
      <c r="BA13" s="175">
        <v>11984.261870282764</v>
      </c>
      <c r="BB13" s="175">
        <v>7150</v>
      </c>
      <c r="BC13" s="177">
        <v>9.804347826086957</v>
      </c>
      <c r="BD13" s="180"/>
      <c r="BE13" s="168"/>
      <c r="BF13" s="181"/>
    </row>
    <row r="14" spans="1:58" x14ac:dyDescent="0.2">
      <c r="A14" s="112">
        <v>10</v>
      </c>
      <c r="B14" s="166" t="s">
        <v>31</v>
      </c>
      <c r="C14" s="146">
        <v>233400</v>
      </c>
      <c r="D14" s="146">
        <v>354200</v>
      </c>
      <c r="E14" s="146">
        <v>458400</v>
      </c>
      <c r="F14" s="167">
        <v>0</v>
      </c>
      <c r="G14" s="168"/>
      <c r="H14" s="168"/>
      <c r="I14" s="167">
        <v>0</v>
      </c>
      <c r="J14" s="167">
        <v>0</v>
      </c>
      <c r="K14" s="169">
        <v>0</v>
      </c>
      <c r="L14" s="150">
        <v>1.49</v>
      </c>
      <c r="M14" s="150">
        <v>1.45</v>
      </c>
      <c r="N14" s="167">
        <v>1031</v>
      </c>
      <c r="O14" s="167">
        <v>1033</v>
      </c>
      <c r="P14" s="170">
        <v>518.39760000000001</v>
      </c>
      <c r="Q14" s="171">
        <v>153</v>
      </c>
      <c r="R14" s="125">
        <v>4</v>
      </c>
      <c r="S14" s="172">
        <v>19125</v>
      </c>
      <c r="T14" s="157">
        <v>0</v>
      </c>
      <c r="U14" s="173">
        <v>12935</v>
      </c>
      <c r="V14" s="172">
        <v>19706.400000000001</v>
      </c>
      <c r="W14" s="157">
        <v>0</v>
      </c>
      <c r="X14" s="157">
        <v>-2750</v>
      </c>
      <c r="Y14" s="173">
        <v>415.6</v>
      </c>
      <c r="Z14" s="156">
        <v>116567.85</v>
      </c>
      <c r="AA14" s="167">
        <v>250</v>
      </c>
      <c r="AB14" s="157">
        <v>1825.0670057634704</v>
      </c>
      <c r="AC14" s="157">
        <v>21.160265114775296</v>
      </c>
      <c r="AD14" s="157">
        <v>18.898803750404138</v>
      </c>
      <c r="AE14" s="157">
        <v>95.468856408175938</v>
      </c>
      <c r="AF14" s="157">
        <v>49.367119301648884</v>
      </c>
      <c r="AG14" s="157">
        <v>17.378726155835757</v>
      </c>
      <c r="AH14" s="156">
        <v>2027.3407764943104</v>
      </c>
      <c r="AI14" s="157">
        <v>2016.4018706896034</v>
      </c>
      <c r="AJ14" s="157">
        <v>26.844046466602133</v>
      </c>
      <c r="AK14" s="157">
        <v>25.106873184898351</v>
      </c>
      <c r="AL14" s="157">
        <v>98.120450564819549</v>
      </c>
      <c r="AM14" s="157">
        <v>42.662374959664412</v>
      </c>
      <c r="AN14" s="157">
        <v>-13.843723781865117</v>
      </c>
      <c r="AO14" s="156">
        <v>2195.2918920837224</v>
      </c>
      <c r="AP14" s="174">
        <v>1920.7344382265369</v>
      </c>
      <c r="AQ14" s="175">
        <v>24.002155790688715</v>
      </c>
      <c r="AR14" s="176">
        <v>22.002838467651245</v>
      </c>
      <c r="AS14" s="176">
        <v>96.794653486497737</v>
      </c>
      <c r="AT14" s="175">
        <v>46.014747130656644</v>
      </c>
      <c r="AU14" s="177">
        <v>1.7675011869853199</v>
      </c>
      <c r="AV14" s="156">
        <v>2111.3163342890161</v>
      </c>
      <c r="AW14" s="172">
        <v>2396.5932974794609</v>
      </c>
      <c r="AX14" s="178">
        <v>0.94499999999999995</v>
      </c>
      <c r="AY14" s="179">
        <v>0</v>
      </c>
      <c r="AZ14" s="172">
        <v>1360.6194690265486</v>
      </c>
      <c r="BA14" s="175">
        <v>11984.261870282764</v>
      </c>
      <c r="BB14" s="175">
        <v>7150</v>
      </c>
      <c r="BC14" s="177">
        <v>9.804347826086957</v>
      </c>
      <c r="BD14" s="180"/>
      <c r="BE14" s="168"/>
      <c r="BF14" s="181"/>
    </row>
    <row r="15" spans="1:58" x14ac:dyDescent="0.2">
      <c r="A15" s="112">
        <v>11</v>
      </c>
      <c r="B15" s="166" t="s">
        <v>32</v>
      </c>
      <c r="C15" s="146">
        <v>124900</v>
      </c>
      <c r="D15" s="146">
        <v>424700</v>
      </c>
      <c r="E15" s="146">
        <v>205300</v>
      </c>
      <c r="F15" s="167">
        <v>0</v>
      </c>
      <c r="G15" s="168"/>
      <c r="H15" s="168"/>
      <c r="I15" s="167">
        <v>0</v>
      </c>
      <c r="J15" s="167">
        <v>0</v>
      </c>
      <c r="K15" s="169">
        <v>0</v>
      </c>
      <c r="L15" s="150">
        <v>1.47</v>
      </c>
      <c r="M15" s="150">
        <v>1.5</v>
      </c>
      <c r="N15" s="167">
        <v>2243</v>
      </c>
      <c r="O15" s="167">
        <v>2246</v>
      </c>
      <c r="P15" s="170">
        <v>873.2650000000001</v>
      </c>
      <c r="Q15" s="171">
        <v>268</v>
      </c>
      <c r="R15" s="125">
        <v>5</v>
      </c>
      <c r="S15" s="172">
        <v>0</v>
      </c>
      <c r="T15" s="157">
        <v>0</v>
      </c>
      <c r="U15" s="173">
        <v>14921</v>
      </c>
      <c r="V15" s="172">
        <v>168138</v>
      </c>
      <c r="W15" s="157">
        <v>-1800</v>
      </c>
      <c r="X15" s="157">
        <v>26592</v>
      </c>
      <c r="Y15" s="173">
        <v>5291</v>
      </c>
      <c r="Z15" s="156">
        <v>155848.15</v>
      </c>
      <c r="AA15" s="167">
        <v>823</v>
      </c>
      <c r="AB15" s="157">
        <v>1960.7204930569653</v>
      </c>
      <c r="AC15" s="157">
        <v>21.492926140585528</v>
      </c>
      <c r="AD15" s="157">
        <v>7.1182642294545984</v>
      </c>
      <c r="AE15" s="157">
        <v>85.870623922237741</v>
      </c>
      <c r="AF15" s="157">
        <v>47.97534551939367</v>
      </c>
      <c r="AG15" s="157">
        <v>19.017268539158863</v>
      </c>
      <c r="AH15" s="156">
        <v>2142.1949214077958</v>
      </c>
      <c r="AI15" s="157">
        <v>2018.1794373797943</v>
      </c>
      <c r="AJ15" s="157">
        <v>26.378049866429208</v>
      </c>
      <c r="AK15" s="157">
        <v>36.712347877708517</v>
      </c>
      <c r="AL15" s="157">
        <v>91.391129682592279</v>
      </c>
      <c r="AM15" s="157">
        <v>60.899376669634904</v>
      </c>
      <c r="AN15" s="157">
        <v>78.917364203027603</v>
      </c>
      <c r="AO15" s="156">
        <v>2312.4777056791868</v>
      </c>
      <c r="AP15" s="174">
        <v>1989.4499652183799</v>
      </c>
      <c r="AQ15" s="175">
        <v>23.935488003507366</v>
      </c>
      <c r="AR15" s="176">
        <v>21.915306053581556</v>
      </c>
      <c r="AS15" s="176">
        <v>88.630876802415003</v>
      </c>
      <c r="AT15" s="175">
        <v>54.437361094514287</v>
      </c>
      <c r="AU15" s="177">
        <v>48.967316371093233</v>
      </c>
      <c r="AV15" s="156">
        <v>2227.3363135434915</v>
      </c>
      <c r="AW15" s="172">
        <v>2396.5932974794609</v>
      </c>
      <c r="AX15" s="178">
        <v>0.94499999999999995</v>
      </c>
      <c r="AY15" s="179">
        <v>0</v>
      </c>
      <c r="AZ15" s="172">
        <v>1360.6194690265486</v>
      </c>
      <c r="BA15" s="175">
        <v>11984.261870282764</v>
      </c>
      <c r="BB15" s="175">
        <v>7150</v>
      </c>
      <c r="BC15" s="177">
        <v>9.804347826086957</v>
      </c>
      <c r="BD15" s="180"/>
      <c r="BE15" s="168"/>
      <c r="BF15" s="181"/>
    </row>
    <row r="16" spans="1:58" x14ac:dyDescent="0.2">
      <c r="A16" s="112">
        <v>12</v>
      </c>
      <c r="B16" s="166" t="s">
        <v>33</v>
      </c>
      <c r="C16" s="146">
        <v>0</v>
      </c>
      <c r="D16" s="146">
        <v>0</v>
      </c>
      <c r="E16" s="146">
        <v>0</v>
      </c>
      <c r="F16" s="167">
        <v>48500</v>
      </c>
      <c r="G16" s="168"/>
      <c r="H16" s="168"/>
      <c r="I16" s="167">
        <v>0</v>
      </c>
      <c r="J16" s="167">
        <v>0</v>
      </c>
      <c r="K16" s="169">
        <v>0</v>
      </c>
      <c r="L16" s="150">
        <v>1.1599999999999999</v>
      </c>
      <c r="M16" s="150">
        <v>1.1599999999999999</v>
      </c>
      <c r="N16" s="167">
        <v>6965</v>
      </c>
      <c r="O16" s="167">
        <v>7117</v>
      </c>
      <c r="P16" s="170">
        <v>1130.5030000000002</v>
      </c>
      <c r="Q16" s="171">
        <v>666</v>
      </c>
      <c r="R16" s="125">
        <v>8</v>
      </c>
      <c r="S16" s="172">
        <v>240708.2</v>
      </c>
      <c r="T16" s="157">
        <v>58950</v>
      </c>
      <c r="U16" s="173">
        <v>28250.05</v>
      </c>
      <c r="V16" s="172">
        <v>839360.87</v>
      </c>
      <c r="W16" s="157">
        <v>22796.05</v>
      </c>
      <c r="X16" s="157">
        <v>109450.74</v>
      </c>
      <c r="Y16" s="173">
        <v>79520.45</v>
      </c>
      <c r="Z16" s="156">
        <v>844857.6</v>
      </c>
      <c r="AA16" s="167">
        <v>5765</v>
      </c>
      <c r="AB16" s="157">
        <v>2073.1797761985099</v>
      </c>
      <c r="AC16" s="157">
        <v>74.965934434075152</v>
      </c>
      <c r="AD16" s="157">
        <v>54.030179468772424</v>
      </c>
      <c r="AE16" s="157">
        <v>92.399764398098512</v>
      </c>
      <c r="AF16" s="157">
        <v>89.075463029432882</v>
      </c>
      <c r="AG16" s="157">
        <v>50.847523330940419</v>
      </c>
      <c r="AH16" s="156">
        <v>2434.4986408598293</v>
      </c>
      <c r="AI16" s="157">
        <v>2458.3393524667608</v>
      </c>
      <c r="AJ16" s="157">
        <v>71.637956067631507</v>
      </c>
      <c r="AK16" s="157">
        <v>72.091953538475948</v>
      </c>
      <c r="AL16" s="157">
        <v>94.901042332106883</v>
      </c>
      <c r="AM16" s="157">
        <v>79.437529858086279</v>
      </c>
      <c r="AN16" s="157">
        <v>79.091747459135405</v>
      </c>
      <c r="AO16" s="156">
        <v>2855.499581722197</v>
      </c>
      <c r="AP16" s="174">
        <v>2265.7595643326354</v>
      </c>
      <c r="AQ16" s="175">
        <v>73.301945250853322</v>
      </c>
      <c r="AR16" s="176">
        <v>63.06106650362419</v>
      </c>
      <c r="AS16" s="176">
        <v>93.650403365102704</v>
      </c>
      <c r="AT16" s="175">
        <v>84.256496443759573</v>
      </c>
      <c r="AU16" s="177">
        <v>64.969635395037912</v>
      </c>
      <c r="AV16" s="156">
        <v>2644.9991112910134</v>
      </c>
      <c r="AW16" s="172">
        <v>2396.5932974794609</v>
      </c>
      <c r="AX16" s="178">
        <v>0.94499999999999995</v>
      </c>
      <c r="AY16" s="179">
        <v>-0.33576624073237971</v>
      </c>
      <c r="AZ16" s="172">
        <v>1360.6194690265486</v>
      </c>
      <c r="BA16" s="175">
        <v>11984.261870282764</v>
      </c>
      <c r="BB16" s="175">
        <v>7150</v>
      </c>
      <c r="BC16" s="177">
        <v>9.804347826086957</v>
      </c>
      <c r="BD16" s="180"/>
      <c r="BE16" s="168"/>
      <c r="BF16" s="181"/>
    </row>
    <row r="17" spans="1:58" x14ac:dyDescent="0.2">
      <c r="A17" s="112">
        <v>13</v>
      </c>
      <c r="B17" s="166" t="s">
        <v>34</v>
      </c>
      <c r="C17" s="146">
        <v>4582300</v>
      </c>
      <c r="D17" s="146">
        <v>0</v>
      </c>
      <c r="E17" s="146">
        <v>44000</v>
      </c>
      <c r="F17" s="167">
        <v>1116100</v>
      </c>
      <c r="G17" s="168"/>
      <c r="H17" s="168"/>
      <c r="I17" s="167">
        <v>0</v>
      </c>
      <c r="J17" s="167">
        <v>0</v>
      </c>
      <c r="K17" s="169">
        <v>0</v>
      </c>
      <c r="L17" s="150">
        <v>1.49</v>
      </c>
      <c r="M17" s="150">
        <v>1.49</v>
      </c>
      <c r="N17" s="167">
        <v>8988</v>
      </c>
      <c r="O17" s="167">
        <v>9100</v>
      </c>
      <c r="P17" s="170">
        <v>1127.925</v>
      </c>
      <c r="Q17" s="171">
        <v>922</v>
      </c>
      <c r="R17" s="125">
        <v>32</v>
      </c>
      <c r="S17" s="172">
        <v>191496.4</v>
      </c>
      <c r="T17" s="157">
        <v>21707.1</v>
      </c>
      <c r="U17" s="173">
        <v>227256.45</v>
      </c>
      <c r="V17" s="172">
        <v>2383388.2999999998</v>
      </c>
      <c r="W17" s="157">
        <v>47877.05</v>
      </c>
      <c r="X17" s="157">
        <v>201129.73</v>
      </c>
      <c r="Y17" s="173">
        <v>382446.44999999995</v>
      </c>
      <c r="Z17" s="156">
        <v>1526162.3499999999</v>
      </c>
      <c r="AA17" s="167">
        <v>17246</v>
      </c>
      <c r="AB17" s="157">
        <v>1401.0653982019253</v>
      </c>
      <c r="AC17" s="157">
        <v>150.98996439697379</v>
      </c>
      <c r="AD17" s="157">
        <v>157.89706275033379</v>
      </c>
      <c r="AE17" s="157">
        <v>80.298696417262207</v>
      </c>
      <c r="AF17" s="157">
        <v>67.193799139593537</v>
      </c>
      <c r="AG17" s="157">
        <v>66.398494288681206</v>
      </c>
      <c r="AH17" s="156">
        <v>1923.8434151947697</v>
      </c>
      <c r="AI17" s="157">
        <v>1431.87794134105</v>
      </c>
      <c r="AJ17" s="157">
        <v>169.98801831501834</v>
      </c>
      <c r="AK17" s="157">
        <v>135.37634065934066</v>
      </c>
      <c r="AL17" s="157">
        <v>89.508426168492903</v>
      </c>
      <c r="AM17" s="157">
        <v>56.344326007326011</v>
      </c>
      <c r="AN17" s="157">
        <v>39.080769230769228</v>
      </c>
      <c r="AO17" s="156">
        <v>1922.1758217219972</v>
      </c>
      <c r="AP17" s="174">
        <v>1416.4716697714875</v>
      </c>
      <c r="AQ17" s="175">
        <v>160.48899135599606</v>
      </c>
      <c r="AR17" s="176">
        <v>146.63670170483721</v>
      </c>
      <c r="AS17" s="176">
        <v>84.903561292877555</v>
      </c>
      <c r="AT17" s="175">
        <v>61.769062573459777</v>
      </c>
      <c r="AU17" s="177">
        <v>52.739631759725214</v>
      </c>
      <c r="AV17" s="156">
        <v>1923.0096184583831</v>
      </c>
      <c r="AW17" s="172">
        <v>2396.5932974794609</v>
      </c>
      <c r="AX17" s="178">
        <v>0.94499999999999995</v>
      </c>
      <c r="AY17" s="179">
        <v>0</v>
      </c>
      <c r="AZ17" s="172">
        <v>1360.6194690265486</v>
      </c>
      <c r="BA17" s="175">
        <v>11984.261870282764</v>
      </c>
      <c r="BB17" s="175">
        <v>7150</v>
      </c>
      <c r="BC17" s="177">
        <v>9.804347826086957</v>
      </c>
      <c r="BD17" s="180"/>
      <c r="BE17" s="168"/>
      <c r="BF17" s="181"/>
    </row>
    <row r="18" spans="1:58" x14ac:dyDescent="0.2">
      <c r="A18" s="112">
        <v>14</v>
      </c>
      <c r="B18" s="166" t="s">
        <v>35</v>
      </c>
      <c r="C18" s="146">
        <v>0</v>
      </c>
      <c r="D18" s="146">
        <v>0</v>
      </c>
      <c r="E18" s="146">
        <v>68200</v>
      </c>
      <c r="F18" s="167">
        <v>1700</v>
      </c>
      <c r="G18" s="168"/>
      <c r="H18" s="168"/>
      <c r="I18" s="167">
        <v>0</v>
      </c>
      <c r="J18" s="167">
        <v>0</v>
      </c>
      <c r="K18" s="169">
        <v>0</v>
      </c>
      <c r="L18" s="150">
        <v>1.25</v>
      </c>
      <c r="M18" s="150">
        <v>1.22</v>
      </c>
      <c r="N18" s="167">
        <v>6433</v>
      </c>
      <c r="O18" s="167">
        <v>6427</v>
      </c>
      <c r="P18" s="170">
        <v>1414.9390000000001</v>
      </c>
      <c r="Q18" s="171">
        <v>726</v>
      </c>
      <c r="R18" s="125">
        <v>22</v>
      </c>
      <c r="S18" s="172">
        <v>219619.1</v>
      </c>
      <c r="T18" s="157">
        <v>0</v>
      </c>
      <c r="U18" s="173">
        <v>0</v>
      </c>
      <c r="V18" s="172">
        <v>482618.46</v>
      </c>
      <c r="W18" s="157">
        <v>2795</v>
      </c>
      <c r="X18" s="157">
        <v>118745.95</v>
      </c>
      <c r="Y18" s="173">
        <v>70407</v>
      </c>
      <c r="Z18" s="156">
        <v>580803.55000000005</v>
      </c>
      <c r="AA18" s="167">
        <v>5615</v>
      </c>
      <c r="AB18" s="157">
        <v>1892.8937491043757</v>
      </c>
      <c r="AC18" s="157">
        <v>216.26545416860978</v>
      </c>
      <c r="AD18" s="157">
        <v>309.33392403751492</v>
      </c>
      <c r="AE18" s="157">
        <v>107.28912446491481</v>
      </c>
      <c r="AF18" s="157">
        <v>114.4440644592984</v>
      </c>
      <c r="AG18" s="157">
        <v>61.096709674076372</v>
      </c>
      <c r="AH18" s="156">
        <v>2701.32302590879</v>
      </c>
      <c r="AI18" s="157">
        <v>2008.2344773746624</v>
      </c>
      <c r="AJ18" s="157">
        <v>230.98987604377371</v>
      </c>
      <c r="AK18" s="157">
        <v>347.40106840931486</v>
      </c>
      <c r="AL18" s="157">
        <v>119.43758165821053</v>
      </c>
      <c r="AM18" s="157">
        <v>75.791940252061607</v>
      </c>
      <c r="AN18" s="157">
        <v>66.362476012654938</v>
      </c>
      <c r="AO18" s="156">
        <v>2848.2174197506783</v>
      </c>
      <c r="AP18" s="174">
        <v>1950.564113239519</v>
      </c>
      <c r="AQ18" s="175">
        <v>223.62766510619173</v>
      </c>
      <c r="AR18" s="176">
        <v>328.36749622341489</v>
      </c>
      <c r="AS18" s="176">
        <v>113.36335306156266</v>
      </c>
      <c r="AT18" s="175">
        <v>95.118002355680005</v>
      </c>
      <c r="AU18" s="177">
        <v>63.729592843365651</v>
      </c>
      <c r="AV18" s="156">
        <v>2774.7702228297335</v>
      </c>
      <c r="AW18" s="172">
        <v>2396.5932974794609</v>
      </c>
      <c r="AX18" s="178">
        <v>0.94499999999999995</v>
      </c>
      <c r="AY18" s="179">
        <v>-0.45036551604423752</v>
      </c>
      <c r="AZ18" s="172">
        <v>1360.6194690265486</v>
      </c>
      <c r="BA18" s="175">
        <v>11984.261870282764</v>
      </c>
      <c r="BB18" s="175">
        <v>7150</v>
      </c>
      <c r="BC18" s="177">
        <v>9.804347826086957</v>
      </c>
      <c r="BD18" s="180"/>
      <c r="BE18" s="168"/>
      <c r="BF18" s="181"/>
    </row>
    <row r="19" spans="1:58" x14ac:dyDescent="0.2">
      <c r="A19" s="112">
        <v>15</v>
      </c>
      <c r="B19" s="166" t="s">
        <v>36</v>
      </c>
      <c r="C19" s="146">
        <v>535400</v>
      </c>
      <c r="D19" s="146">
        <v>0</v>
      </c>
      <c r="E19" s="146">
        <v>13300</v>
      </c>
      <c r="F19" s="167">
        <v>73200</v>
      </c>
      <c r="G19" s="168"/>
      <c r="H19" s="168"/>
      <c r="I19" s="167">
        <v>0</v>
      </c>
      <c r="J19" s="167">
        <v>0</v>
      </c>
      <c r="K19" s="169">
        <v>0</v>
      </c>
      <c r="L19" s="150">
        <v>1.39</v>
      </c>
      <c r="M19" s="150">
        <v>1.39</v>
      </c>
      <c r="N19" s="167">
        <v>3250</v>
      </c>
      <c r="O19" s="167">
        <v>3221</v>
      </c>
      <c r="P19" s="170">
        <v>574.55299999999988</v>
      </c>
      <c r="Q19" s="171">
        <v>321</v>
      </c>
      <c r="R19" s="125">
        <v>11</v>
      </c>
      <c r="S19" s="172">
        <v>82463</v>
      </c>
      <c r="T19" s="157">
        <v>45256</v>
      </c>
      <c r="U19" s="173">
        <v>29300</v>
      </c>
      <c r="V19" s="172">
        <v>256190</v>
      </c>
      <c r="W19" s="157">
        <v>883</v>
      </c>
      <c r="X19" s="157">
        <v>25648</v>
      </c>
      <c r="Y19" s="173">
        <v>1296</v>
      </c>
      <c r="Z19" s="156">
        <v>482336.69999999995</v>
      </c>
      <c r="AA19" s="167">
        <v>2243</v>
      </c>
      <c r="AB19" s="157">
        <v>1543.4907020162448</v>
      </c>
      <c r="AC19" s="157">
        <v>115.28468717948718</v>
      </c>
      <c r="AD19" s="157">
        <v>239.37926153846152</v>
      </c>
      <c r="AE19" s="157">
        <v>92.404570652982002</v>
      </c>
      <c r="AF19" s="157">
        <v>126.03794871794871</v>
      </c>
      <c r="AG19" s="157">
        <v>80.884369230769238</v>
      </c>
      <c r="AH19" s="156">
        <v>2197.4815393358936</v>
      </c>
      <c r="AI19" s="157">
        <v>1655.8888285133821</v>
      </c>
      <c r="AJ19" s="157">
        <v>108.65729069647107</v>
      </c>
      <c r="AK19" s="157">
        <v>166.93288833695541</v>
      </c>
      <c r="AL19" s="157">
        <v>95.816982577886208</v>
      </c>
      <c r="AM19" s="157">
        <v>54.977750181103183</v>
      </c>
      <c r="AN19" s="157">
        <v>15.940204905308908</v>
      </c>
      <c r="AO19" s="156">
        <v>2098.2139452111069</v>
      </c>
      <c r="AP19" s="174">
        <v>1599.6897652648136</v>
      </c>
      <c r="AQ19" s="175">
        <v>111.97098893797912</v>
      </c>
      <c r="AR19" s="176">
        <v>203.15607493770847</v>
      </c>
      <c r="AS19" s="176">
        <v>94.110776615434105</v>
      </c>
      <c r="AT19" s="175">
        <v>90.507849449525949</v>
      </c>
      <c r="AU19" s="177">
        <v>48.41228706803907</v>
      </c>
      <c r="AV19" s="156">
        <v>2147.8477422735004</v>
      </c>
      <c r="AW19" s="172">
        <v>2396.5932974794609</v>
      </c>
      <c r="AX19" s="178">
        <v>0.94499999999999995</v>
      </c>
      <c r="AY19" s="179">
        <v>0</v>
      </c>
      <c r="AZ19" s="172">
        <v>1360.6194690265486</v>
      </c>
      <c r="BA19" s="175">
        <v>11984.261870282764</v>
      </c>
      <c r="BB19" s="175">
        <v>7150</v>
      </c>
      <c r="BC19" s="177">
        <v>9.804347826086957</v>
      </c>
      <c r="BD19" s="180"/>
      <c r="BE19" s="168"/>
      <c r="BF19" s="181"/>
    </row>
    <row r="20" spans="1:58" x14ac:dyDescent="0.2">
      <c r="A20" s="112">
        <v>16</v>
      </c>
      <c r="B20" s="166" t="s">
        <v>37</v>
      </c>
      <c r="C20" s="146">
        <v>2897300</v>
      </c>
      <c r="D20" s="146">
        <v>0</v>
      </c>
      <c r="E20" s="146">
        <v>82900</v>
      </c>
      <c r="F20" s="167">
        <v>411800</v>
      </c>
      <c r="G20" s="168"/>
      <c r="H20" s="168"/>
      <c r="I20" s="167">
        <v>0</v>
      </c>
      <c r="J20" s="167">
        <v>0</v>
      </c>
      <c r="K20" s="169">
        <v>0</v>
      </c>
      <c r="L20" s="150">
        <v>1.39</v>
      </c>
      <c r="M20" s="150">
        <v>1.39</v>
      </c>
      <c r="N20" s="167">
        <v>5728</v>
      </c>
      <c r="O20" s="167">
        <v>5777</v>
      </c>
      <c r="P20" s="170">
        <v>1022.736</v>
      </c>
      <c r="Q20" s="171">
        <v>621</v>
      </c>
      <c r="R20" s="125">
        <v>28</v>
      </c>
      <c r="S20" s="172">
        <v>240545.45</v>
      </c>
      <c r="T20" s="157">
        <v>0</v>
      </c>
      <c r="U20" s="173">
        <v>47003.05</v>
      </c>
      <c r="V20" s="172">
        <v>1463251.77</v>
      </c>
      <c r="W20" s="157">
        <v>38241.4</v>
      </c>
      <c r="X20" s="157">
        <v>106842.95</v>
      </c>
      <c r="Y20" s="173">
        <v>109932.75</v>
      </c>
      <c r="Z20" s="156">
        <v>518458.44999999995</v>
      </c>
      <c r="AA20" s="167">
        <v>5186</v>
      </c>
      <c r="AB20" s="157">
        <v>1267.6285665358516</v>
      </c>
      <c r="AC20" s="157">
        <v>178.77923067970204</v>
      </c>
      <c r="AD20" s="157">
        <v>235.4403165735568</v>
      </c>
      <c r="AE20" s="157">
        <v>101.20504192402078</v>
      </c>
      <c r="AF20" s="157">
        <v>63.866084729981381</v>
      </c>
      <c r="AG20" s="157">
        <v>65.143872206703918</v>
      </c>
      <c r="AH20" s="156">
        <v>1912.0631126498167</v>
      </c>
      <c r="AI20" s="157">
        <v>1341.8874632660932</v>
      </c>
      <c r="AJ20" s="157">
        <v>196.27453118689056</v>
      </c>
      <c r="AK20" s="157">
        <v>170.34118631354218</v>
      </c>
      <c r="AL20" s="157">
        <v>103.90752903368062</v>
      </c>
      <c r="AM20" s="157">
        <v>52.844613697997801</v>
      </c>
      <c r="AN20" s="157">
        <v>34.122814609658995</v>
      </c>
      <c r="AO20" s="156">
        <v>1899.3781381078634</v>
      </c>
      <c r="AP20" s="174">
        <v>1304.7580149009723</v>
      </c>
      <c r="AQ20" s="175">
        <v>187.5268809332963</v>
      </c>
      <c r="AR20" s="176">
        <v>202.8907514435495</v>
      </c>
      <c r="AS20" s="176">
        <v>102.5562854788507</v>
      </c>
      <c r="AT20" s="175">
        <v>58.355349213989591</v>
      </c>
      <c r="AU20" s="177">
        <v>49.63334340818146</v>
      </c>
      <c r="AV20" s="156">
        <v>1905.7206253788397</v>
      </c>
      <c r="AW20" s="172">
        <v>2396.5932974794609</v>
      </c>
      <c r="AX20" s="178">
        <v>0.94499999999999995</v>
      </c>
      <c r="AY20" s="179">
        <v>0</v>
      </c>
      <c r="AZ20" s="172">
        <v>1360.6194690265486</v>
      </c>
      <c r="BA20" s="175">
        <v>11984.261870282764</v>
      </c>
      <c r="BB20" s="175">
        <v>7150</v>
      </c>
      <c r="BC20" s="177">
        <v>9.804347826086957</v>
      </c>
      <c r="BD20" s="180"/>
      <c r="BE20" s="168"/>
      <c r="BF20" s="181"/>
    </row>
    <row r="21" spans="1:58" x14ac:dyDescent="0.2">
      <c r="A21" s="112">
        <v>17</v>
      </c>
      <c r="B21" s="166" t="s">
        <v>38</v>
      </c>
      <c r="C21" s="146">
        <v>0</v>
      </c>
      <c r="D21" s="146">
        <v>0</v>
      </c>
      <c r="E21" s="146">
        <v>0</v>
      </c>
      <c r="F21" s="167">
        <v>132100</v>
      </c>
      <c r="G21" s="168"/>
      <c r="H21" s="168"/>
      <c r="I21" s="167">
        <v>0</v>
      </c>
      <c r="J21" s="167">
        <v>0</v>
      </c>
      <c r="K21" s="169">
        <v>0</v>
      </c>
      <c r="L21" s="150">
        <v>0.95</v>
      </c>
      <c r="M21" s="150">
        <v>0.95</v>
      </c>
      <c r="N21" s="167">
        <v>7228</v>
      </c>
      <c r="O21" s="167">
        <v>7278</v>
      </c>
      <c r="P21" s="170">
        <v>1063.1669999999999</v>
      </c>
      <c r="Q21" s="171">
        <v>740</v>
      </c>
      <c r="R21" s="125">
        <v>12</v>
      </c>
      <c r="S21" s="172">
        <v>263667.25</v>
      </c>
      <c r="T21" s="157">
        <v>0</v>
      </c>
      <c r="U21" s="173">
        <v>52775.85</v>
      </c>
      <c r="V21" s="172">
        <v>911021.44000000006</v>
      </c>
      <c r="W21" s="157">
        <v>89969.2</v>
      </c>
      <c r="X21" s="157">
        <v>226153.35</v>
      </c>
      <c r="Y21" s="173">
        <v>120106.6</v>
      </c>
      <c r="Z21" s="156">
        <v>1059100.25</v>
      </c>
      <c r="AA21" s="167">
        <v>3442</v>
      </c>
      <c r="AB21" s="157">
        <v>1987.9057723403093</v>
      </c>
      <c r="AC21" s="157">
        <v>233.66361372440517</v>
      </c>
      <c r="AD21" s="157">
        <v>359.15439494558194</v>
      </c>
      <c r="AE21" s="157">
        <v>103.71409101009201</v>
      </c>
      <c r="AF21" s="157">
        <v>58.047113078767765</v>
      </c>
      <c r="AG21" s="157">
        <v>63.454551743220811</v>
      </c>
      <c r="AH21" s="156">
        <v>2805.9395368423766</v>
      </c>
      <c r="AI21" s="157">
        <v>2005.7203433046755</v>
      </c>
      <c r="AJ21" s="157">
        <v>284.63126774754966</v>
      </c>
      <c r="AK21" s="157">
        <v>314.57322524503064</v>
      </c>
      <c r="AL21" s="157">
        <v>108.28663381490608</v>
      </c>
      <c r="AM21" s="157">
        <v>59.663387377484653</v>
      </c>
      <c r="AN21" s="157">
        <v>73.793720802418235</v>
      </c>
      <c r="AO21" s="156">
        <v>2846.6685782920645</v>
      </c>
      <c r="AP21" s="174">
        <v>1996.8130578224923</v>
      </c>
      <c r="AQ21" s="175">
        <v>259.1474407359774</v>
      </c>
      <c r="AR21" s="176">
        <v>336.86381009530629</v>
      </c>
      <c r="AS21" s="176">
        <v>106.00036241249904</v>
      </c>
      <c r="AT21" s="175">
        <v>58.855250228126209</v>
      </c>
      <c r="AU21" s="177">
        <v>68.624136272819527</v>
      </c>
      <c r="AV21" s="156">
        <v>2826.3040575672212</v>
      </c>
      <c r="AW21" s="172">
        <v>2396.5932974794609</v>
      </c>
      <c r="AX21" s="178">
        <v>0.94499999999999995</v>
      </c>
      <c r="AY21" s="179">
        <v>-0.49587441278505812</v>
      </c>
      <c r="AZ21" s="172">
        <v>1360.6194690265486</v>
      </c>
      <c r="BA21" s="175">
        <v>11984.261870282764</v>
      </c>
      <c r="BB21" s="175">
        <v>7150</v>
      </c>
      <c r="BC21" s="177">
        <v>9.804347826086957</v>
      </c>
      <c r="BD21" s="180"/>
      <c r="BE21" s="168"/>
      <c r="BF21" s="181"/>
    </row>
    <row r="22" spans="1:58" x14ac:dyDescent="0.2">
      <c r="A22" s="112">
        <v>18</v>
      </c>
      <c r="B22" s="166" t="s">
        <v>39</v>
      </c>
      <c r="C22" s="146">
        <v>0</v>
      </c>
      <c r="D22" s="146">
        <v>0</v>
      </c>
      <c r="E22" s="146">
        <v>0</v>
      </c>
      <c r="F22" s="167">
        <v>1500</v>
      </c>
      <c r="G22" s="168"/>
      <c r="H22" s="168"/>
      <c r="I22" s="167">
        <v>0</v>
      </c>
      <c r="J22" s="167">
        <v>0</v>
      </c>
      <c r="K22" s="169">
        <v>0</v>
      </c>
      <c r="L22" s="150">
        <v>0.92</v>
      </c>
      <c r="M22" s="150">
        <v>0.92</v>
      </c>
      <c r="N22" s="167">
        <v>3798</v>
      </c>
      <c r="O22" s="167">
        <v>3894</v>
      </c>
      <c r="P22" s="170">
        <v>834.92039999999997</v>
      </c>
      <c r="Q22" s="171">
        <v>427</v>
      </c>
      <c r="R22" s="125">
        <v>3</v>
      </c>
      <c r="S22" s="172">
        <v>0</v>
      </c>
      <c r="T22" s="157">
        <v>0</v>
      </c>
      <c r="U22" s="173">
        <v>18948.8</v>
      </c>
      <c r="V22" s="172">
        <v>303091.3</v>
      </c>
      <c r="W22" s="157">
        <v>0</v>
      </c>
      <c r="X22" s="157">
        <v>73893.05</v>
      </c>
      <c r="Y22" s="173">
        <v>10921.2</v>
      </c>
      <c r="Z22" s="156">
        <v>375346.15</v>
      </c>
      <c r="AA22" s="167">
        <v>3886</v>
      </c>
      <c r="AB22" s="157">
        <v>2004.2262983904459</v>
      </c>
      <c r="AC22" s="157">
        <v>113.80176408636127</v>
      </c>
      <c r="AD22" s="157">
        <v>210.0441635948745</v>
      </c>
      <c r="AE22" s="157">
        <v>104.74078285670417</v>
      </c>
      <c r="AF22" s="157">
        <v>5.7169036334913113</v>
      </c>
      <c r="AG22" s="157">
        <v>142.24739336492891</v>
      </c>
      <c r="AH22" s="156">
        <v>2580.7773059268061</v>
      </c>
      <c r="AI22" s="157">
        <v>2191.8088129408843</v>
      </c>
      <c r="AJ22" s="157">
        <v>114.21536551960281</v>
      </c>
      <c r="AK22" s="157">
        <v>201.35648005478512</v>
      </c>
      <c r="AL22" s="157">
        <v>105.08844300360072</v>
      </c>
      <c r="AM22" s="157">
        <v>83.130962164013013</v>
      </c>
      <c r="AN22" s="157">
        <v>56.941088854648179</v>
      </c>
      <c r="AO22" s="156">
        <v>2752.5411525375343</v>
      </c>
      <c r="AP22" s="174">
        <v>2098.017555665665</v>
      </c>
      <c r="AQ22" s="175">
        <v>114.00856480298205</v>
      </c>
      <c r="AR22" s="176">
        <v>205.70032182482981</v>
      </c>
      <c r="AS22" s="176">
        <v>104.91461293015244</v>
      </c>
      <c r="AT22" s="175">
        <v>44.423932898752163</v>
      </c>
      <c r="AU22" s="177">
        <v>99.594241109788541</v>
      </c>
      <c r="AV22" s="156">
        <v>2666.6592292321702</v>
      </c>
      <c r="AW22" s="172">
        <v>2396.5932974794609</v>
      </c>
      <c r="AX22" s="178">
        <v>0.94499999999999995</v>
      </c>
      <c r="AY22" s="179">
        <v>-0.3548940249502508</v>
      </c>
      <c r="AZ22" s="172">
        <v>1360.6194690265486</v>
      </c>
      <c r="BA22" s="175">
        <v>11984.261870282764</v>
      </c>
      <c r="BB22" s="175">
        <v>7150</v>
      </c>
      <c r="BC22" s="177">
        <v>9.804347826086957</v>
      </c>
      <c r="BD22" s="180"/>
      <c r="BE22" s="168"/>
      <c r="BF22" s="181"/>
    </row>
    <row r="23" spans="1:58" x14ac:dyDescent="0.2">
      <c r="A23" s="112">
        <v>19</v>
      </c>
      <c r="B23" s="166" t="s">
        <v>40</v>
      </c>
      <c r="C23" s="146">
        <v>0</v>
      </c>
      <c r="D23" s="146">
        <v>0</v>
      </c>
      <c r="E23" s="146">
        <v>0</v>
      </c>
      <c r="F23" s="167">
        <v>37200</v>
      </c>
      <c r="G23" s="168"/>
      <c r="H23" s="168"/>
      <c r="I23" s="167">
        <v>0</v>
      </c>
      <c r="J23" s="167">
        <v>0</v>
      </c>
      <c r="K23" s="169">
        <v>0</v>
      </c>
      <c r="L23" s="150">
        <v>0.85</v>
      </c>
      <c r="M23" s="150">
        <v>0.85</v>
      </c>
      <c r="N23" s="167">
        <v>4536</v>
      </c>
      <c r="O23" s="167">
        <v>4532</v>
      </c>
      <c r="P23" s="170">
        <v>789.48500000000001</v>
      </c>
      <c r="Q23" s="171">
        <v>501</v>
      </c>
      <c r="R23" s="125">
        <v>6</v>
      </c>
      <c r="S23" s="172">
        <v>0</v>
      </c>
      <c r="T23" s="157">
        <v>0</v>
      </c>
      <c r="U23" s="173">
        <v>0</v>
      </c>
      <c r="V23" s="172">
        <v>322537</v>
      </c>
      <c r="W23" s="157">
        <v>13818</v>
      </c>
      <c r="X23" s="157">
        <v>-35822</v>
      </c>
      <c r="Y23" s="173">
        <v>1867</v>
      </c>
      <c r="Z23" s="156">
        <v>613457.69999999995</v>
      </c>
      <c r="AA23" s="167">
        <v>5122</v>
      </c>
      <c r="AB23" s="157">
        <v>2131.4168691308341</v>
      </c>
      <c r="AC23" s="157">
        <v>354.35667989417999</v>
      </c>
      <c r="AD23" s="157">
        <v>539.43177542621993</v>
      </c>
      <c r="AE23" s="157">
        <v>113.43804733759076</v>
      </c>
      <c r="AF23" s="157">
        <v>55.98721340388007</v>
      </c>
      <c r="AG23" s="157">
        <v>110.95583480305703</v>
      </c>
      <c r="AH23" s="156">
        <v>3305.5864199957623</v>
      </c>
      <c r="AI23" s="157">
        <v>2434.8018203719989</v>
      </c>
      <c r="AJ23" s="157">
        <v>433.57280817887613</v>
      </c>
      <c r="AK23" s="157">
        <v>585.58058252427179</v>
      </c>
      <c r="AL23" s="157">
        <v>118.4664570985139</v>
      </c>
      <c r="AM23" s="157">
        <v>51.226684318917329</v>
      </c>
      <c r="AN23" s="157">
        <v>53.327655192703737</v>
      </c>
      <c r="AO23" s="156">
        <v>3676.9760076852817</v>
      </c>
      <c r="AP23" s="174">
        <v>2283.1093447514168</v>
      </c>
      <c r="AQ23" s="175">
        <v>393.96474403652803</v>
      </c>
      <c r="AR23" s="176">
        <v>562.5061789752458</v>
      </c>
      <c r="AS23" s="176">
        <v>115.95225221805234</v>
      </c>
      <c r="AT23" s="175">
        <v>53.606948861398699</v>
      </c>
      <c r="AU23" s="177">
        <v>82.14174499788038</v>
      </c>
      <c r="AV23" s="156">
        <v>3491.281213840522</v>
      </c>
      <c r="AW23" s="172">
        <v>2396.5932974794609</v>
      </c>
      <c r="AX23" s="178">
        <v>0.94499999999999995</v>
      </c>
      <c r="AY23" s="179">
        <v>-1</v>
      </c>
      <c r="AZ23" s="172">
        <v>1360.6194690265486</v>
      </c>
      <c r="BA23" s="175">
        <v>11984.261870282764</v>
      </c>
      <c r="BB23" s="175">
        <v>7150</v>
      </c>
      <c r="BC23" s="177">
        <v>9.804347826086957</v>
      </c>
      <c r="BD23" s="180"/>
      <c r="BE23" s="168"/>
      <c r="BF23" s="181"/>
    </row>
    <row r="24" spans="1:58" x14ac:dyDescent="0.2">
      <c r="A24" s="112">
        <v>20</v>
      </c>
      <c r="B24" s="166" t="s">
        <v>41</v>
      </c>
      <c r="C24" s="146">
        <v>0</v>
      </c>
      <c r="D24" s="146">
        <v>0</v>
      </c>
      <c r="E24" s="146">
        <v>1085200</v>
      </c>
      <c r="F24" s="167">
        <v>0</v>
      </c>
      <c r="G24" s="168"/>
      <c r="H24" s="168"/>
      <c r="I24" s="167">
        <v>0</v>
      </c>
      <c r="J24" s="167">
        <v>0</v>
      </c>
      <c r="K24" s="169">
        <v>0</v>
      </c>
      <c r="L24" s="150">
        <v>1</v>
      </c>
      <c r="M24" s="150">
        <v>0.95</v>
      </c>
      <c r="N24" s="167">
        <v>6066</v>
      </c>
      <c r="O24" s="167">
        <v>6188</v>
      </c>
      <c r="P24" s="170">
        <v>1160.9780000000003</v>
      </c>
      <c r="Q24" s="171">
        <v>808</v>
      </c>
      <c r="R24" s="125">
        <v>18</v>
      </c>
      <c r="S24" s="172">
        <v>14897.5</v>
      </c>
      <c r="T24" s="157">
        <v>2136.9</v>
      </c>
      <c r="U24" s="173">
        <v>17642.05</v>
      </c>
      <c r="V24" s="172">
        <v>290445.09999999998</v>
      </c>
      <c r="W24" s="157">
        <v>20876.599999999999</v>
      </c>
      <c r="X24" s="157">
        <v>56751.38</v>
      </c>
      <c r="Y24" s="173">
        <v>11382.8</v>
      </c>
      <c r="Z24" s="156">
        <v>619093.25</v>
      </c>
      <c r="AA24" s="167">
        <v>2136</v>
      </c>
      <c r="AB24" s="157">
        <v>1823.2376459916186</v>
      </c>
      <c r="AC24" s="157">
        <v>221.0463457522805</v>
      </c>
      <c r="AD24" s="157">
        <v>179.54416968897681</v>
      </c>
      <c r="AE24" s="157">
        <v>99.883947773910819</v>
      </c>
      <c r="AF24" s="157">
        <v>73.902505769864831</v>
      </c>
      <c r="AG24" s="157">
        <v>67.345312671722169</v>
      </c>
      <c r="AH24" s="156">
        <v>2464.9599276483741</v>
      </c>
      <c r="AI24" s="157">
        <v>1927.8474629411701</v>
      </c>
      <c r="AJ24" s="157">
        <v>260.68414134884722</v>
      </c>
      <c r="AK24" s="157">
        <v>191.0203889248007</v>
      </c>
      <c r="AL24" s="157">
        <v>102.93607228132069</v>
      </c>
      <c r="AM24" s="157">
        <v>54.150447101917692</v>
      </c>
      <c r="AN24" s="157">
        <v>40.996579400991166</v>
      </c>
      <c r="AO24" s="156">
        <v>2577.6350919990473</v>
      </c>
      <c r="AP24" s="174">
        <v>1875.5425544663944</v>
      </c>
      <c r="AQ24" s="175">
        <v>240.86524355056386</v>
      </c>
      <c r="AR24" s="176">
        <v>185.28227930688877</v>
      </c>
      <c r="AS24" s="176">
        <v>101.41001002761575</v>
      </c>
      <c r="AT24" s="175">
        <v>64.026476435891254</v>
      </c>
      <c r="AU24" s="177">
        <v>54.170946036356668</v>
      </c>
      <c r="AV24" s="156">
        <v>2521.2975098237107</v>
      </c>
      <c r="AW24" s="172">
        <v>2396.5932974794609</v>
      </c>
      <c r="AX24" s="178">
        <v>0.94499999999999995</v>
      </c>
      <c r="AY24" s="179">
        <v>-0.22652687524509713</v>
      </c>
      <c r="AZ24" s="172">
        <v>1360.6194690265486</v>
      </c>
      <c r="BA24" s="175">
        <v>11984.261870282764</v>
      </c>
      <c r="BB24" s="175">
        <v>7150</v>
      </c>
      <c r="BC24" s="177">
        <v>9.804347826086957</v>
      </c>
      <c r="BD24" s="180"/>
      <c r="BE24" s="168"/>
      <c r="BF24" s="181"/>
    </row>
    <row r="25" spans="1:58" x14ac:dyDescent="0.2">
      <c r="A25" s="112">
        <v>21</v>
      </c>
      <c r="B25" s="166" t="s">
        <v>42</v>
      </c>
      <c r="C25" s="146">
        <v>0</v>
      </c>
      <c r="D25" s="146">
        <v>0</v>
      </c>
      <c r="E25" s="146">
        <v>923700</v>
      </c>
      <c r="F25" s="167">
        <v>0</v>
      </c>
      <c r="G25" s="168"/>
      <c r="H25" s="168"/>
      <c r="I25" s="167">
        <v>0</v>
      </c>
      <c r="J25" s="167">
        <v>0</v>
      </c>
      <c r="K25" s="169">
        <v>0</v>
      </c>
      <c r="L25" s="150">
        <v>1.0900000000000001</v>
      </c>
      <c r="M25" s="150">
        <v>1.06</v>
      </c>
      <c r="N25" s="167">
        <v>9116</v>
      </c>
      <c r="O25" s="167">
        <v>9220</v>
      </c>
      <c r="P25" s="170">
        <v>1307.3409999999999</v>
      </c>
      <c r="Q25" s="171">
        <v>1119</v>
      </c>
      <c r="R25" s="125">
        <v>18</v>
      </c>
      <c r="S25" s="172">
        <v>64099.25</v>
      </c>
      <c r="T25" s="157">
        <v>0</v>
      </c>
      <c r="U25" s="173">
        <v>2855.4</v>
      </c>
      <c r="V25" s="172">
        <v>769080.6</v>
      </c>
      <c r="W25" s="157">
        <v>26464.05</v>
      </c>
      <c r="X25" s="157">
        <v>101431</v>
      </c>
      <c r="Y25" s="173">
        <v>107810.3</v>
      </c>
      <c r="Z25" s="156">
        <v>787192.1</v>
      </c>
      <c r="AA25" s="167">
        <v>4340</v>
      </c>
      <c r="AB25" s="157">
        <v>1712.5282483187527</v>
      </c>
      <c r="AC25" s="157">
        <v>146.35299839110721</v>
      </c>
      <c r="AD25" s="157">
        <v>292.81895202574225</v>
      </c>
      <c r="AE25" s="157">
        <v>110.5642277886284</v>
      </c>
      <c r="AF25" s="157">
        <v>55.486269562673684</v>
      </c>
      <c r="AG25" s="157">
        <v>98.584949539271605</v>
      </c>
      <c r="AH25" s="156">
        <v>2416.3356456261763</v>
      </c>
      <c r="AI25" s="157">
        <v>1749.6538280657553</v>
      </c>
      <c r="AJ25" s="157">
        <v>168.78153289949387</v>
      </c>
      <c r="AK25" s="157">
        <v>269.72044107013738</v>
      </c>
      <c r="AL25" s="157">
        <v>116.31659254406388</v>
      </c>
      <c r="AM25" s="157">
        <v>63.65205350686913</v>
      </c>
      <c r="AN25" s="157">
        <v>51.920567606652199</v>
      </c>
      <c r="AO25" s="156">
        <v>2420.0450156929714</v>
      </c>
      <c r="AP25" s="174">
        <v>1731.091038192254</v>
      </c>
      <c r="AQ25" s="175">
        <v>157.56726564530055</v>
      </c>
      <c r="AR25" s="176">
        <v>281.26969654793982</v>
      </c>
      <c r="AS25" s="176">
        <v>113.44041016634614</v>
      </c>
      <c r="AT25" s="175">
        <v>59.569161534771411</v>
      </c>
      <c r="AU25" s="177">
        <v>75.252758572961909</v>
      </c>
      <c r="AV25" s="156">
        <v>2418.1903306595736</v>
      </c>
      <c r="AW25" s="172">
        <v>2396.5932974794609</v>
      </c>
      <c r="AX25" s="178">
        <v>0.94499999999999995</v>
      </c>
      <c r="AY25" s="179">
        <v>-0.13547419124204393</v>
      </c>
      <c r="AZ25" s="172">
        <v>1360.6194690265486</v>
      </c>
      <c r="BA25" s="175">
        <v>11984.261870282764</v>
      </c>
      <c r="BB25" s="175">
        <v>7150</v>
      </c>
      <c r="BC25" s="177">
        <v>9.804347826086957</v>
      </c>
      <c r="BD25" s="180"/>
      <c r="BE25" s="168"/>
      <c r="BF25" s="181"/>
    </row>
    <row r="26" spans="1:58" x14ac:dyDescent="0.2">
      <c r="A26" s="112">
        <v>22</v>
      </c>
      <c r="B26" s="166" t="s">
        <v>43</v>
      </c>
      <c r="C26" s="146">
        <v>690800</v>
      </c>
      <c r="D26" s="146">
        <v>0</v>
      </c>
      <c r="E26" s="146">
        <v>280000</v>
      </c>
      <c r="F26" s="167">
        <v>1200</v>
      </c>
      <c r="G26" s="168"/>
      <c r="H26" s="168"/>
      <c r="I26" s="167">
        <v>0</v>
      </c>
      <c r="J26" s="167">
        <v>0</v>
      </c>
      <c r="K26" s="169">
        <v>0</v>
      </c>
      <c r="L26" s="150">
        <v>1.19</v>
      </c>
      <c r="M26" s="150">
        <v>1.19</v>
      </c>
      <c r="N26" s="167">
        <v>4425</v>
      </c>
      <c r="O26" s="167">
        <v>4471</v>
      </c>
      <c r="P26" s="170">
        <v>764.70399999999995</v>
      </c>
      <c r="Q26" s="171">
        <v>519</v>
      </c>
      <c r="R26" s="125">
        <v>19</v>
      </c>
      <c r="S26" s="172">
        <v>0</v>
      </c>
      <c r="T26" s="157">
        <v>0</v>
      </c>
      <c r="U26" s="173">
        <v>0</v>
      </c>
      <c r="V26" s="172">
        <v>484942.1</v>
      </c>
      <c r="W26" s="157">
        <v>9066.9</v>
      </c>
      <c r="X26" s="157">
        <v>-20592.11</v>
      </c>
      <c r="Y26" s="173">
        <v>56703.25</v>
      </c>
      <c r="Z26" s="156">
        <v>554402.35</v>
      </c>
      <c r="AA26" s="167">
        <v>4118</v>
      </c>
      <c r="AB26" s="157">
        <v>1517.9158064421679</v>
      </c>
      <c r="AC26" s="157">
        <v>96.293310734463276</v>
      </c>
      <c r="AD26" s="157">
        <v>278.91887005649716</v>
      </c>
      <c r="AE26" s="157">
        <v>83.974686831841396</v>
      </c>
      <c r="AF26" s="157">
        <v>52.37470433145009</v>
      </c>
      <c r="AG26" s="157">
        <v>80.316497175141237</v>
      </c>
      <c r="AH26" s="156">
        <v>2109.7938755715613</v>
      </c>
      <c r="AI26" s="157">
        <v>1657.167227386974</v>
      </c>
      <c r="AJ26" s="157">
        <v>101.22048013121598</v>
      </c>
      <c r="AK26" s="157">
        <v>254.93930515171849</v>
      </c>
      <c r="AL26" s="157">
        <v>86.565436625760569</v>
      </c>
      <c r="AM26" s="157">
        <v>52.531275628121975</v>
      </c>
      <c r="AN26" s="157">
        <v>16.088936106762098</v>
      </c>
      <c r="AO26" s="156">
        <v>2168.5126610305529</v>
      </c>
      <c r="AP26" s="174">
        <v>1587.5415169145708</v>
      </c>
      <c r="AQ26" s="175">
        <v>98.756895432839627</v>
      </c>
      <c r="AR26" s="176">
        <v>266.92908760410785</v>
      </c>
      <c r="AS26" s="176">
        <v>85.270061728800982</v>
      </c>
      <c r="AT26" s="175">
        <v>52.452989979786032</v>
      </c>
      <c r="AU26" s="177">
        <v>48.202716640951664</v>
      </c>
      <c r="AV26" s="156">
        <v>2139.1532683010573</v>
      </c>
      <c r="AW26" s="172">
        <v>2396.5932974794609</v>
      </c>
      <c r="AX26" s="178">
        <v>0.94499999999999995</v>
      </c>
      <c r="AY26" s="179">
        <v>0</v>
      </c>
      <c r="AZ26" s="172">
        <v>1360.6194690265486</v>
      </c>
      <c r="BA26" s="175">
        <v>11984.261870282764</v>
      </c>
      <c r="BB26" s="175">
        <v>7150</v>
      </c>
      <c r="BC26" s="177">
        <v>9.804347826086957</v>
      </c>
      <c r="BD26" s="180"/>
      <c r="BE26" s="168"/>
      <c r="BF26" s="181"/>
    </row>
    <row r="27" spans="1:58" x14ac:dyDescent="0.2">
      <c r="A27" s="112">
        <v>23</v>
      </c>
      <c r="B27" s="166" t="s">
        <v>44</v>
      </c>
      <c r="C27" s="146">
        <v>967000</v>
      </c>
      <c r="D27" s="146">
        <v>207500</v>
      </c>
      <c r="E27" s="146">
        <v>662800</v>
      </c>
      <c r="F27" s="167">
        <v>2000</v>
      </c>
      <c r="G27" s="168"/>
      <c r="H27" s="168"/>
      <c r="I27" s="167">
        <v>0</v>
      </c>
      <c r="J27" s="167">
        <v>0</v>
      </c>
      <c r="K27" s="169">
        <v>0</v>
      </c>
      <c r="L27" s="150">
        <v>1.4</v>
      </c>
      <c r="M27" s="150">
        <v>1.4</v>
      </c>
      <c r="N27" s="167">
        <v>2103</v>
      </c>
      <c r="O27" s="167">
        <v>2137</v>
      </c>
      <c r="P27" s="170">
        <v>686.45500000000004</v>
      </c>
      <c r="Q27" s="171">
        <v>294</v>
      </c>
      <c r="R27" s="125">
        <v>6</v>
      </c>
      <c r="S27" s="172">
        <v>75628</v>
      </c>
      <c r="T27" s="157">
        <v>0</v>
      </c>
      <c r="U27" s="173">
        <v>0</v>
      </c>
      <c r="V27" s="172">
        <v>189822.85</v>
      </c>
      <c r="W27" s="157">
        <v>0</v>
      </c>
      <c r="X27" s="157">
        <v>75302.899999999994</v>
      </c>
      <c r="Y27" s="173">
        <v>18179.599999999999</v>
      </c>
      <c r="Z27" s="156">
        <v>182647.80000000002</v>
      </c>
      <c r="AA27" s="167">
        <v>1015</v>
      </c>
      <c r="AB27" s="157">
        <v>1585.708061071449</v>
      </c>
      <c r="AC27" s="157">
        <v>53.936709462672376</v>
      </c>
      <c r="AD27" s="157">
        <v>81.310968457758747</v>
      </c>
      <c r="AE27" s="157">
        <v>88.824991509270589</v>
      </c>
      <c r="AF27" s="157">
        <v>70.593374544301795</v>
      </c>
      <c r="AG27" s="157">
        <v>59.570597559042639</v>
      </c>
      <c r="AH27" s="156">
        <v>1939.944702604495</v>
      </c>
      <c r="AI27" s="157">
        <v>1619.6414309654631</v>
      </c>
      <c r="AJ27" s="157">
        <v>73.64227109655279</v>
      </c>
      <c r="AK27" s="157">
        <v>76.873311495866474</v>
      </c>
      <c r="AL27" s="157">
        <v>92.340459544494237</v>
      </c>
      <c r="AM27" s="157">
        <v>34.6395882077679</v>
      </c>
      <c r="AN27" s="157">
        <v>43.485134924348777</v>
      </c>
      <c r="AO27" s="156">
        <v>1940.6221962344935</v>
      </c>
      <c r="AP27" s="174">
        <v>1602.6747460184561</v>
      </c>
      <c r="AQ27" s="175">
        <v>63.789490279612579</v>
      </c>
      <c r="AR27" s="176">
        <v>79.092139976812604</v>
      </c>
      <c r="AS27" s="176">
        <v>90.582725526882413</v>
      </c>
      <c r="AT27" s="175">
        <v>52.616481376034848</v>
      </c>
      <c r="AU27" s="177">
        <v>51.527866241695705</v>
      </c>
      <c r="AV27" s="156">
        <v>1940.2834494194942</v>
      </c>
      <c r="AW27" s="172">
        <v>2396.5932974794609</v>
      </c>
      <c r="AX27" s="178">
        <v>0.94499999999999995</v>
      </c>
      <c r="AY27" s="179">
        <v>0</v>
      </c>
      <c r="AZ27" s="172">
        <v>1360.6194690265486</v>
      </c>
      <c r="BA27" s="175">
        <v>11984.261870282764</v>
      </c>
      <c r="BB27" s="175">
        <v>7150</v>
      </c>
      <c r="BC27" s="177">
        <v>9.804347826086957</v>
      </c>
      <c r="BD27" s="180"/>
      <c r="BE27" s="168"/>
      <c r="BF27" s="181"/>
    </row>
    <row r="28" spans="1:58" x14ac:dyDescent="0.2">
      <c r="A28" s="112">
        <v>24</v>
      </c>
      <c r="B28" s="166" t="s">
        <v>45</v>
      </c>
      <c r="C28" s="146">
        <v>323700</v>
      </c>
      <c r="D28" s="146">
        <v>1614000</v>
      </c>
      <c r="E28" s="146">
        <v>1004800</v>
      </c>
      <c r="F28" s="167">
        <v>480100</v>
      </c>
      <c r="G28" s="168"/>
      <c r="H28" s="168"/>
      <c r="I28" s="167">
        <v>0</v>
      </c>
      <c r="J28" s="167">
        <v>0</v>
      </c>
      <c r="K28" s="169">
        <v>0</v>
      </c>
      <c r="L28" s="150">
        <v>1.53</v>
      </c>
      <c r="M28" s="150">
        <v>1.53</v>
      </c>
      <c r="N28" s="167">
        <v>11168</v>
      </c>
      <c r="O28" s="167">
        <v>11273</v>
      </c>
      <c r="P28" s="170">
        <v>4002.7719999999999</v>
      </c>
      <c r="Q28" s="171">
        <v>1343</v>
      </c>
      <c r="R28" s="125">
        <v>29</v>
      </c>
      <c r="S28" s="172">
        <v>603004.65</v>
      </c>
      <c r="T28" s="157">
        <v>45635.4</v>
      </c>
      <c r="U28" s="173">
        <v>35840</v>
      </c>
      <c r="V28" s="172">
        <v>1887627.99</v>
      </c>
      <c r="W28" s="157">
        <v>74331.149999999994</v>
      </c>
      <c r="X28" s="157">
        <v>247720.07</v>
      </c>
      <c r="Y28" s="173">
        <v>201865.9</v>
      </c>
      <c r="Z28" s="156">
        <v>1583779.45</v>
      </c>
      <c r="AA28" s="167">
        <v>12960</v>
      </c>
      <c r="AB28" s="157">
        <v>1592.9779118228173</v>
      </c>
      <c r="AC28" s="157">
        <v>143.25664995224452</v>
      </c>
      <c r="AD28" s="157">
        <v>235.66857390162369</v>
      </c>
      <c r="AE28" s="157">
        <v>94.448632104356008</v>
      </c>
      <c r="AF28" s="157">
        <v>55.543770893027698</v>
      </c>
      <c r="AG28" s="157">
        <v>46.661529966571152</v>
      </c>
      <c r="AH28" s="156">
        <v>2168.55706864064</v>
      </c>
      <c r="AI28" s="157">
        <v>1679.6307744643059</v>
      </c>
      <c r="AJ28" s="157">
        <v>145.79719979892965</v>
      </c>
      <c r="AK28" s="157">
        <v>280.98617049587506</v>
      </c>
      <c r="AL28" s="157">
        <v>97.843927872240911</v>
      </c>
      <c r="AM28" s="157">
        <v>51.22902510423134</v>
      </c>
      <c r="AN28" s="157">
        <v>67.496235843756452</v>
      </c>
      <c r="AO28" s="156">
        <v>2322.9833335793392</v>
      </c>
      <c r="AP28" s="174">
        <v>1636.3043431435617</v>
      </c>
      <c r="AQ28" s="175">
        <v>144.5269248755871</v>
      </c>
      <c r="AR28" s="176">
        <v>258.32737219874934</v>
      </c>
      <c r="AS28" s="176">
        <v>96.14627998829846</v>
      </c>
      <c r="AT28" s="175">
        <v>53.386397998629519</v>
      </c>
      <c r="AU28" s="177">
        <v>57.078882905163802</v>
      </c>
      <c r="AV28" s="156">
        <v>2245.77020110999</v>
      </c>
      <c r="AW28" s="172">
        <v>2396.5932974794609</v>
      </c>
      <c r="AX28" s="178">
        <v>0.94499999999999995</v>
      </c>
      <c r="AY28" s="179">
        <v>0</v>
      </c>
      <c r="AZ28" s="172">
        <v>1360.6194690265486</v>
      </c>
      <c r="BA28" s="175">
        <v>11984.261870282764</v>
      </c>
      <c r="BB28" s="175">
        <v>7150</v>
      </c>
      <c r="BC28" s="177">
        <v>9.804347826086957</v>
      </c>
      <c r="BD28" s="180"/>
      <c r="BE28" s="168"/>
      <c r="BF28" s="181"/>
    </row>
    <row r="29" spans="1:58" x14ac:dyDescent="0.2">
      <c r="A29" s="112">
        <v>25</v>
      </c>
      <c r="B29" s="166" t="s">
        <v>46</v>
      </c>
      <c r="C29" s="146">
        <v>1093500</v>
      </c>
      <c r="D29" s="146">
        <v>305000</v>
      </c>
      <c r="E29" s="146">
        <v>223200</v>
      </c>
      <c r="F29" s="167">
        <v>0</v>
      </c>
      <c r="G29" s="168"/>
      <c r="H29" s="168"/>
      <c r="I29" s="167">
        <v>0</v>
      </c>
      <c r="J29" s="167">
        <v>0</v>
      </c>
      <c r="K29" s="169">
        <v>0</v>
      </c>
      <c r="L29" s="150">
        <v>1.46</v>
      </c>
      <c r="M29" s="150">
        <v>1.46</v>
      </c>
      <c r="N29" s="167">
        <v>1507</v>
      </c>
      <c r="O29" s="167">
        <v>1490</v>
      </c>
      <c r="P29" s="170">
        <v>596.43599999999992</v>
      </c>
      <c r="Q29" s="171">
        <v>184</v>
      </c>
      <c r="R29" s="125">
        <v>6</v>
      </c>
      <c r="S29" s="172">
        <v>0</v>
      </c>
      <c r="T29" s="157">
        <v>0</v>
      </c>
      <c r="U29" s="173">
        <v>4909</v>
      </c>
      <c r="V29" s="172">
        <v>41148</v>
      </c>
      <c r="W29" s="157">
        <v>0</v>
      </c>
      <c r="X29" s="157">
        <v>6632</v>
      </c>
      <c r="Y29" s="173">
        <v>603</v>
      </c>
      <c r="Z29" s="156">
        <v>114024.8</v>
      </c>
      <c r="AA29" s="167">
        <v>126</v>
      </c>
      <c r="AB29" s="157">
        <v>1460.6614403749777</v>
      </c>
      <c r="AC29" s="157">
        <v>61.613005972130054</v>
      </c>
      <c r="AD29" s="157">
        <v>18.554080955540808</v>
      </c>
      <c r="AE29" s="157">
        <v>85.803564081598196</v>
      </c>
      <c r="AF29" s="157">
        <v>22.562264985622651</v>
      </c>
      <c r="AG29" s="157">
        <v>39.034549878345501</v>
      </c>
      <c r="AH29" s="156">
        <v>1688.2289062482146</v>
      </c>
      <c r="AI29" s="157">
        <v>1637.2204418611457</v>
      </c>
      <c r="AJ29" s="157">
        <v>50.583847874720355</v>
      </c>
      <c r="AK29" s="157">
        <v>17.322662192393736</v>
      </c>
      <c r="AL29" s="157">
        <v>90.179154398046691</v>
      </c>
      <c r="AM29" s="157">
        <v>23.895749440715882</v>
      </c>
      <c r="AN29" s="157">
        <v>32.761140939597311</v>
      </c>
      <c r="AO29" s="156">
        <v>1851.9629967066194</v>
      </c>
      <c r="AP29" s="174">
        <v>1548.9409411180618</v>
      </c>
      <c r="AQ29" s="175">
        <v>56.098426923425208</v>
      </c>
      <c r="AR29" s="176">
        <v>17.938371573967274</v>
      </c>
      <c r="AS29" s="176">
        <v>87.991359239822444</v>
      </c>
      <c r="AT29" s="175">
        <v>23.229007213169268</v>
      </c>
      <c r="AU29" s="177">
        <v>35.897845408971406</v>
      </c>
      <c r="AV29" s="156">
        <v>1770.0959514774174</v>
      </c>
      <c r="AW29" s="172">
        <v>2396.5932974794609</v>
      </c>
      <c r="AX29" s="178">
        <v>0.94499999999999995</v>
      </c>
      <c r="AY29" s="179">
        <v>0</v>
      </c>
      <c r="AZ29" s="172">
        <v>1360.6194690265486</v>
      </c>
      <c r="BA29" s="175">
        <v>11984.261870282764</v>
      </c>
      <c r="BB29" s="175">
        <v>7150</v>
      </c>
      <c r="BC29" s="177">
        <v>9.804347826086957</v>
      </c>
      <c r="BD29" s="180"/>
      <c r="BE29" s="168"/>
      <c r="BF29" s="181"/>
    </row>
    <row r="30" spans="1:58" x14ac:dyDescent="0.2">
      <c r="A30" s="112">
        <v>26</v>
      </c>
      <c r="B30" s="166" t="s">
        <v>47</v>
      </c>
      <c r="C30" s="146">
        <v>3967700</v>
      </c>
      <c r="D30" s="146">
        <v>1633800</v>
      </c>
      <c r="E30" s="146">
        <v>2217800</v>
      </c>
      <c r="F30" s="167">
        <v>0</v>
      </c>
      <c r="G30" s="168"/>
      <c r="H30" s="168"/>
      <c r="I30" s="167">
        <v>0</v>
      </c>
      <c r="J30" s="167">
        <v>0</v>
      </c>
      <c r="K30" s="169">
        <v>0</v>
      </c>
      <c r="L30" s="150">
        <v>1.4</v>
      </c>
      <c r="M30" s="150">
        <v>1.38</v>
      </c>
      <c r="N30" s="167">
        <v>8533</v>
      </c>
      <c r="O30" s="167">
        <v>8630</v>
      </c>
      <c r="P30" s="170">
        <v>3356.9833999999992</v>
      </c>
      <c r="Q30" s="171">
        <v>1149</v>
      </c>
      <c r="R30" s="125">
        <v>23</v>
      </c>
      <c r="S30" s="172">
        <v>44797.65</v>
      </c>
      <c r="T30" s="157">
        <v>0</v>
      </c>
      <c r="U30" s="173">
        <v>18004.650000000001</v>
      </c>
      <c r="V30" s="172">
        <v>845608.31</v>
      </c>
      <c r="W30" s="157">
        <v>38.65</v>
      </c>
      <c r="X30" s="157">
        <v>143075.92000000001</v>
      </c>
      <c r="Y30" s="173">
        <v>51219.75</v>
      </c>
      <c r="Z30" s="156">
        <v>546747.30000000005</v>
      </c>
      <c r="AA30" s="167">
        <v>6306</v>
      </c>
      <c r="AB30" s="157">
        <v>1494.2911332975793</v>
      </c>
      <c r="AC30" s="157">
        <v>93.257447556545173</v>
      </c>
      <c r="AD30" s="157">
        <v>134.66001796945193</v>
      </c>
      <c r="AE30" s="157">
        <v>92.814881062236608</v>
      </c>
      <c r="AF30" s="157">
        <v>39.358150709012072</v>
      </c>
      <c r="AG30" s="157">
        <v>42.380596898316334</v>
      </c>
      <c r="AH30" s="156">
        <v>1896.7622274931414</v>
      </c>
      <c r="AI30" s="157">
        <v>1583.209725523315</v>
      </c>
      <c r="AJ30" s="157">
        <v>108.50883352645809</v>
      </c>
      <c r="AK30" s="157">
        <v>120.7305252993434</v>
      </c>
      <c r="AL30" s="157">
        <v>97.486145982275019</v>
      </c>
      <c r="AM30" s="157">
        <v>37.716917728852842</v>
      </c>
      <c r="AN30" s="157">
        <v>24.988211664735424</v>
      </c>
      <c r="AO30" s="156">
        <v>1972.6403597249798</v>
      </c>
      <c r="AP30" s="174">
        <v>1538.7504294104472</v>
      </c>
      <c r="AQ30" s="175">
        <v>100.88314054150163</v>
      </c>
      <c r="AR30" s="176">
        <v>127.69527163439767</v>
      </c>
      <c r="AS30" s="176">
        <v>95.150513522255807</v>
      </c>
      <c r="AT30" s="175">
        <v>38.537534218932457</v>
      </c>
      <c r="AU30" s="177">
        <v>33.684404281525879</v>
      </c>
      <c r="AV30" s="156">
        <v>1934.7012936090607</v>
      </c>
      <c r="AW30" s="172">
        <v>2396.5932974794609</v>
      </c>
      <c r="AX30" s="178">
        <v>0.94499999999999995</v>
      </c>
      <c r="AY30" s="179">
        <v>0</v>
      </c>
      <c r="AZ30" s="172">
        <v>1360.6194690265486</v>
      </c>
      <c r="BA30" s="175">
        <v>11984.261870282764</v>
      </c>
      <c r="BB30" s="175">
        <v>7150</v>
      </c>
      <c r="BC30" s="177">
        <v>9.804347826086957</v>
      </c>
      <c r="BD30" s="180"/>
      <c r="BE30" s="168"/>
      <c r="BF30" s="181"/>
    </row>
    <row r="31" spans="1:58" x14ac:dyDescent="0.2">
      <c r="A31" s="112">
        <v>27</v>
      </c>
      <c r="B31" s="166" t="s">
        <v>48</v>
      </c>
      <c r="C31" s="146">
        <v>1081300</v>
      </c>
      <c r="D31" s="146">
        <v>438300</v>
      </c>
      <c r="E31" s="146">
        <v>0</v>
      </c>
      <c r="F31" s="167">
        <v>20500</v>
      </c>
      <c r="G31" s="168"/>
      <c r="H31" s="168"/>
      <c r="I31" s="167">
        <v>0</v>
      </c>
      <c r="J31" s="167">
        <v>0</v>
      </c>
      <c r="K31" s="169">
        <v>0</v>
      </c>
      <c r="L31" s="150">
        <v>1.45</v>
      </c>
      <c r="M31" s="150">
        <v>1.43</v>
      </c>
      <c r="N31" s="167">
        <v>2154</v>
      </c>
      <c r="O31" s="167">
        <v>2223</v>
      </c>
      <c r="P31" s="170">
        <v>877.57999999999993</v>
      </c>
      <c r="Q31" s="171">
        <v>240</v>
      </c>
      <c r="R31" s="125">
        <v>2</v>
      </c>
      <c r="S31" s="172">
        <v>7517.25</v>
      </c>
      <c r="T31" s="157">
        <v>1786.5</v>
      </c>
      <c r="U31" s="173">
        <v>7181.55</v>
      </c>
      <c r="V31" s="172">
        <v>284566.23</v>
      </c>
      <c r="W31" s="157">
        <v>3358.3</v>
      </c>
      <c r="X31" s="157">
        <v>51179.41</v>
      </c>
      <c r="Y31" s="173">
        <v>9844.7999999999993</v>
      </c>
      <c r="Z31" s="156">
        <v>292592.84999999998</v>
      </c>
      <c r="AA31" s="167">
        <v>3207</v>
      </c>
      <c r="AB31" s="157">
        <v>1456.3497665730879</v>
      </c>
      <c r="AC31" s="157">
        <v>131.81414422779326</v>
      </c>
      <c r="AD31" s="157">
        <v>148.3594088517487</v>
      </c>
      <c r="AE31" s="157">
        <v>98.90284087732374</v>
      </c>
      <c r="AF31" s="157">
        <v>60.844537294955131</v>
      </c>
      <c r="AG31" s="157">
        <v>43.835654596100277</v>
      </c>
      <c r="AH31" s="156">
        <v>1940.1063524210092</v>
      </c>
      <c r="AI31" s="157">
        <v>1431.8854125083678</v>
      </c>
      <c r="AJ31" s="157">
        <v>148.99194781826361</v>
      </c>
      <c r="AK31" s="157">
        <v>109.09763082920978</v>
      </c>
      <c r="AL31" s="157">
        <v>99.568923044144128</v>
      </c>
      <c r="AM31" s="157">
        <v>63.18527515369621</v>
      </c>
      <c r="AN31" s="157">
        <v>44.387719298245621</v>
      </c>
      <c r="AO31" s="156">
        <v>1897.1169086519271</v>
      </c>
      <c r="AP31" s="174">
        <v>1444.1175895407277</v>
      </c>
      <c r="AQ31" s="175">
        <v>140.40304602302842</v>
      </c>
      <c r="AR31" s="176">
        <v>128.72851984047924</v>
      </c>
      <c r="AS31" s="176">
        <v>99.235881960733934</v>
      </c>
      <c r="AT31" s="175">
        <v>62.014906224325671</v>
      </c>
      <c r="AU31" s="177">
        <v>44.111686947172949</v>
      </c>
      <c r="AV31" s="156">
        <v>1918.6116305364678</v>
      </c>
      <c r="AW31" s="172">
        <v>2396.5932974794609</v>
      </c>
      <c r="AX31" s="178">
        <v>0.94499999999999995</v>
      </c>
      <c r="AY31" s="179">
        <v>0</v>
      </c>
      <c r="AZ31" s="172">
        <v>1360.6194690265486</v>
      </c>
      <c r="BA31" s="175">
        <v>11984.261870282764</v>
      </c>
      <c r="BB31" s="175">
        <v>7150</v>
      </c>
      <c r="BC31" s="177">
        <v>9.804347826086957</v>
      </c>
      <c r="BD31" s="180"/>
      <c r="BE31" s="168"/>
      <c r="BF31" s="181"/>
    </row>
    <row r="32" spans="1:58" x14ac:dyDescent="0.2">
      <c r="A32" s="112">
        <v>28</v>
      </c>
      <c r="B32" s="166" t="s">
        <v>49</v>
      </c>
      <c r="C32" s="146">
        <v>0</v>
      </c>
      <c r="D32" s="146">
        <v>589400</v>
      </c>
      <c r="E32" s="146">
        <v>0</v>
      </c>
      <c r="F32" s="167">
        <v>0</v>
      </c>
      <c r="G32" s="168"/>
      <c r="H32" s="168"/>
      <c r="I32" s="167">
        <v>0</v>
      </c>
      <c r="J32" s="167">
        <v>0</v>
      </c>
      <c r="K32" s="169">
        <v>0</v>
      </c>
      <c r="L32" s="150">
        <v>1.34</v>
      </c>
      <c r="M32" s="150">
        <v>1.28</v>
      </c>
      <c r="N32" s="167">
        <v>5038</v>
      </c>
      <c r="O32" s="167">
        <v>5194</v>
      </c>
      <c r="P32" s="170">
        <v>1946.0299999999997</v>
      </c>
      <c r="Q32" s="171">
        <v>540</v>
      </c>
      <c r="R32" s="125">
        <v>10</v>
      </c>
      <c r="S32" s="172">
        <v>44744.85</v>
      </c>
      <c r="T32" s="157">
        <v>518.5</v>
      </c>
      <c r="U32" s="173">
        <v>20328.400000000001</v>
      </c>
      <c r="V32" s="172">
        <v>195921.45</v>
      </c>
      <c r="W32" s="157">
        <v>0</v>
      </c>
      <c r="X32" s="157">
        <v>69337.7</v>
      </c>
      <c r="Y32" s="173">
        <v>91012.5</v>
      </c>
      <c r="Z32" s="156">
        <v>424405.5</v>
      </c>
      <c r="AA32" s="167">
        <v>3682</v>
      </c>
      <c r="AB32" s="157">
        <v>1544.0494849337904</v>
      </c>
      <c r="AC32" s="157">
        <v>299.59235146222051</v>
      </c>
      <c r="AD32" s="157">
        <v>451.10240836310703</v>
      </c>
      <c r="AE32" s="157">
        <v>115.19351563929746</v>
      </c>
      <c r="AF32" s="157">
        <v>76.245222972078864</v>
      </c>
      <c r="AG32" s="157">
        <v>86.546566097657802</v>
      </c>
      <c r="AH32" s="156">
        <v>2572.7295494681521</v>
      </c>
      <c r="AI32" s="157">
        <v>1619.9658224628556</v>
      </c>
      <c r="AJ32" s="157">
        <v>337.82880246438197</v>
      </c>
      <c r="AK32" s="157">
        <v>511.60636632011295</v>
      </c>
      <c r="AL32" s="157">
        <v>122.95343499127999</v>
      </c>
      <c r="AM32" s="157">
        <v>53.001424720831722</v>
      </c>
      <c r="AN32" s="157">
        <v>62.931780259273523</v>
      </c>
      <c r="AO32" s="156">
        <v>2708.2876312187364</v>
      </c>
      <c r="AP32" s="174">
        <v>1582.0076536983229</v>
      </c>
      <c r="AQ32" s="175">
        <v>318.71057696330126</v>
      </c>
      <c r="AR32" s="176">
        <v>481.35438734160999</v>
      </c>
      <c r="AS32" s="176">
        <v>119.07347531528873</v>
      </c>
      <c r="AT32" s="175">
        <v>64.623323846455293</v>
      </c>
      <c r="AU32" s="177">
        <v>74.739173178465663</v>
      </c>
      <c r="AV32" s="156">
        <v>2640.5085903434438</v>
      </c>
      <c r="AW32" s="172">
        <v>2396.5932974794609</v>
      </c>
      <c r="AX32" s="178">
        <v>0.94499999999999995</v>
      </c>
      <c r="AY32" s="179">
        <v>-0.33180071681675355</v>
      </c>
      <c r="AZ32" s="172">
        <v>1360.6194690265486</v>
      </c>
      <c r="BA32" s="175">
        <v>11984.261870282764</v>
      </c>
      <c r="BB32" s="175">
        <v>7150</v>
      </c>
      <c r="BC32" s="177">
        <v>9.804347826086957</v>
      </c>
      <c r="BD32" s="180"/>
      <c r="BE32" s="168"/>
      <c r="BF32" s="181"/>
    </row>
    <row r="33" spans="1:58" x14ac:dyDescent="0.2">
      <c r="A33" s="112">
        <v>29</v>
      </c>
      <c r="B33" s="166" t="s">
        <v>50</v>
      </c>
      <c r="C33" s="146">
        <v>1052800</v>
      </c>
      <c r="D33" s="146">
        <v>666300</v>
      </c>
      <c r="E33" s="146">
        <v>404000</v>
      </c>
      <c r="F33" s="167">
        <v>0</v>
      </c>
      <c r="G33" s="168"/>
      <c r="H33" s="168"/>
      <c r="I33" s="167">
        <v>0</v>
      </c>
      <c r="J33" s="167">
        <v>258300</v>
      </c>
      <c r="K33" s="169">
        <v>0</v>
      </c>
      <c r="L33" s="150">
        <v>1.45</v>
      </c>
      <c r="M33" s="150">
        <v>1.45</v>
      </c>
      <c r="N33" s="167">
        <v>3215</v>
      </c>
      <c r="O33" s="167">
        <v>3267</v>
      </c>
      <c r="P33" s="170">
        <v>1305.9309999999998</v>
      </c>
      <c r="Q33" s="171">
        <v>397</v>
      </c>
      <c r="R33" s="125">
        <v>12</v>
      </c>
      <c r="S33" s="172">
        <v>0</v>
      </c>
      <c r="T33" s="157">
        <v>0</v>
      </c>
      <c r="U33" s="173">
        <v>16106</v>
      </c>
      <c r="V33" s="172">
        <v>137942</v>
      </c>
      <c r="W33" s="157">
        <v>579</v>
      </c>
      <c r="X33" s="157">
        <v>81092</v>
      </c>
      <c r="Y33" s="173">
        <v>16687</v>
      </c>
      <c r="Z33" s="156">
        <v>297791.94999999995</v>
      </c>
      <c r="AA33" s="167">
        <v>2307</v>
      </c>
      <c r="AB33" s="157">
        <v>1687.6510808626135</v>
      </c>
      <c r="AC33" s="157">
        <v>83.666065318818028</v>
      </c>
      <c r="AD33" s="157">
        <v>86.598475894245738</v>
      </c>
      <c r="AE33" s="157">
        <v>88.204053150519215</v>
      </c>
      <c r="AF33" s="157">
        <v>68.545857957490938</v>
      </c>
      <c r="AG33" s="157">
        <v>80.015261793675478</v>
      </c>
      <c r="AH33" s="156">
        <v>2094.6807949773629</v>
      </c>
      <c r="AI33" s="157">
        <v>1704.625376831573</v>
      </c>
      <c r="AJ33" s="157">
        <v>69.422967044179174</v>
      </c>
      <c r="AK33" s="157">
        <v>41.975329048056317</v>
      </c>
      <c r="AL33" s="157">
        <v>91.982614586691227</v>
      </c>
      <c r="AM33" s="157">
        <v>45.00737679828589</v>
      </c>
      <c r="AN33" s="157">
        <v>32.829303132333436</v>
      </c>
      <c r="AO33" s="156">
        <v>1985.8429674411188</v>
      </c>
      <c r="AP33" s="174">
        <v>1696.1382288470932</v>
      </c>
      <c r="AQ33" s="175">
        <v>76.544516181498608</v>
      </c>
      <c r="AR33" s="176">
        <v>64.286902471151024</v>
      </c>
      <c r="AS33" s="176">
        <v>90.093333868605214</v>
      </c>
      <c r="AT33" s="175">
        <v>56.776617377888414</v>
      </c>
      <c r="AU33" s="177">
        <v>56.422282463004457</v>
      </c>
      <c r="AV33" s="156">
        <v>2040.261881209241</v>
      </c>
      <c r="AW33" s="172">
        <v>2396.5932974794609</v>
      </c>
      <c r="AX33" s="178">
        <v>0.94499999999999995</v>
      </c>
      <c r="AY33" s="179">
        <v>0</v>
      </c>
      <c r="AZ33" s="172">
        <v>1360.6194690265486</v>
      </c>
      <c r="BA33" s="175">
        <v>11984.261870282764</v>
      </c>
      <c r="BB33" s="175">
        <v>7150</v>
      </c>
      <c r="BC33" s="177">
        <v>9.804347826086957</v>
      </c>
      <c r="BD33" s="180"/>
      <c r="BE33" s="168"/>
      <c r="BF33" s="181"/>
    </row>
    <row r="34" spans="1:58" x14ac:dyDescent="0.2">
      <c r="A34" s="112">
        <v>30</v>
      </c>
      <c r="B34" s="166" t="s">
        <v>51</v>
      </c>
      <c r="C34" s="146">
        <v>2156400</v>
      </c>
      <c r="D34" s="146">
        <v>1352500</v>
      </c>
      <c r="E34" s="146">
        <v>1128700</v>
      </c>
      <c r="F34" s="167">
        <v>104600</v>
      </c>
      <c r="G34" s="168"/>
      <c r="H34" s="168"/>
      <c r="I34" s="167">
        <v>0</v>
      </c>
      <c r="J34" s="167">
        <v>0</v>
      </c>
      <c r="K34" s="169">
        <v>0</v>
      </c>
      <c r="L34" s="150">
        <v>1.3</v>
      </c>
      <c r="M34" s="150">
        <v>1.3</v>
      </c>
      <c r="N34" s="167">
        <v>6982</v>
      </c>
      <c r="O34" s="167">
        <v>6901</v>
      </c>
      <c r="P34" s="170">
        <v>2718.2305999999999</v>
      </c>
      <c r="Q34" s="171">
        <v>865</v>
      </c>
      <c r="R34" s="125">
        <v>17</v>
      </c>
      <c r="S34" s="172">
        <v>271347.7</v>
      </c>
      <c r="T34" s="157">
        <v>129742</v>
      </c>
      <c r="U34" s="173">
        <v>21531.65</v>
      </c>
      <c r="V34" s="172">
        <v>770668.07</v>
      </c>
      <c r="W34" s="157">
        <v>0</v>
      </c>
      <c r="X34" s="157">
        <v>165592.17000000001</v>
      </c>
      <c r="Y34" s="173">
        <v>26939.7</v>
      </c>
      <c r="Z34" s="156">
        <v>758206.54999999993</v>
      </c>
      <c r="AA34" s="167">
        <v>5721</v>
      </c>
      <c r="AB34" s="157">
        <v>1548.2535203793238</v>
      </c>
      <c r="AC34" s="157">
        <v>82.759648620261629</v>
      </c>
      <c r="AD34" s="157">
        <v>105.70748114198415</v>
      </c>
      <c r="AE34" s="157">
        <v>84.572066653907186</v>
      </c>
      <c r="AF34" s="157">
        <v>60.412782392819629</v>
      </c>
      <c r="AG34" s="157">
        <v>55.495402463477511</v>
      </c>
      <c r="AH34" s="156">
        <v>1937.2009016517741</v>
      </c>
      <c r="AI34" s="157">
        <v>1742.6132993438532</v>
      </c>
      <c r="AJ34" s="157">
        <v>101.53059943003429</v>
      </c>
      <c r="AK34" s="157">
        <v>104.37794522532967</v>
      </c>
      <c r="AL34" s="157">
        <v>87.713433091289289</v>
      </c>
      <c r="AM34" s="157">
        <v>37.360180650147321</v>
      </c>
      <c r="AN34" s="157">
        <v>55.714017292179882</v>
      </c>
      <c r="AO34" s="156">
        <v>2129.3094750328337</v>
      </c>
      <c r="AP34" s="174">
        <v>1645.4334098615886</v>
      </c>
      <c r="AQ34" s="175">
        <v>92.145124025147965</v>
      </c>
      <c r="AR34" s="176">
        <v>105.0427131836569</v>
      </c>
      <c r="AS34" s="176">
        <v>86.142749872598245</v>
      </c>
      <c r="AT34" s="175">
        <v>48.886481521483475</v>
      </c>
      <c r="AU34" s="177">
        <v>55.604709877828697</v>
      </c>
      <c r="AV34" s="156">
        <v>2033.2551883423039</v>
      </c>
      <c r="AW34" s="172">
        <v>2396.5932974794609</v>
      </c>
      <c r="AX34" s="178">
        <v>0.94499999999999995</v>
      </c>
      <c r="AY34" s="179">
        <v>0</v>
      </c>
      <c r="AZ34" s="172">
        <v>1360.6194690265486</v>
      </c>
      <c r="BA34" s="175">
        <v>11984.261870282764</v>
      </c>
      <c r="BB34" s="175">
        <v>7150</v>
      </c>
      <c r="BC34" s="177">
        <v>9.804347826086957</v>
      </c>
      <c r="BD34" s="180"/>
      <c r="BE34" s="168"/>
      <c r="BF34" s="181"/>
    </row>
    <row r="35" spans="1:58" x14ac:dyDescent="0.2">
      <c r="A35" s="112">
        <v>31</v>
      </c>
      <c r="B35" s="166" t="s">
        <v>52</v>
      </c>
      <c r="C35" s="146">
        <v>0</v>
      </c>
      <c r="D35" s="146">
        <v>0</v>
      </c>
      <c r="E35" s="146">
        <v>0</v>
      </c>
      <c r="F35" s="167">
        <v>337100</v>
      </c>
      <c r="G35" s="168"/>
      <c r="H35" s="168"/>
      <c r="I35" s="167">
        <v>0</v>
      </c>
      <c r="J35" s="167">
        <v>0</v>
      </c>
      <c r="K35" s="169">
        <v>0</v>
      </c>
      <c r="L35" s="150">
        <v>1.18</v>
      </c>
      <c r="M35" s="150">
        <v>1.18</v>
      </c>
      <c r="N35" s="167">
        <v>11938</v>
      </c>
      <c r="O35" s="167">
        <v>12187</v>
      </c>
      <c r="P35" s="170">
        <v>1668.3919999999998</v>
      </c>
      <c r="Q35" s="171">
        <v>1216</v>
      </c>
      <c r="R35" s="125">
        <v>32</v>
      </c>
      <c r="S35" s="172">
        <v>184121.5</v>
      </c>
      <c r="T35" s="157">
        <v>70750.75</v>
      </c>
      <c r="U35" s="173">
        <v>90769.2</v>
      </c>
      <c r="V35" s="172">
        <v>1841358.72</v>
      </c>
      <c r="W35" s="157">
        <v>102968.3</v>
      </c>
      <c r="X35" s="157">
        <v>230405.25</v>
      </c>
      <c r="Y35" s="173">
        <v>570835.78</v>
      </c>
      <c r="Z35" s="156">
        <v>1513831.25</v>
      </c>
      <c r="AA35" s="167">
        <v>17298</v>
      </c>
      <c r="AB35" s="157">
        <v>1817.5977203393659</v>
      </c>
      <c r="AC35" s="157">
        <v>151.04714915954654</v>
      </c>
      <c r="AD35" s="157">
        <v>342.24373987825987</v>
      </c>
      <c r="AE35" s="157">
        <v>100.2514867191347</v>
      </c>
      <c r="AF35" s="157">
        <v>49.581610543362935</v>
      </c>
      <c r="AG35" s="157">
        <v>34.935701122466071</v>
      </c>
      <c r="AH35" s="156">
        <v>2495.6574077621358</v>
      </c>
      <c r="AI35" s="157">
        <v>1954.1228745347412</v>
      </c>
      <c r="AJ35" s="157">
        <v>156.35388802275648</v>
      </c>
      <c r="AK35" s="157">
        <v>210.89303629550614</v>
      </c>
      <c r="AL35" s="157">
        <v>104.75077419415442</v>
      </c>
      <c r="AM35" s="157">
        <v>40.043428790240966</v>
      </c>
      <c r="AN35" s="157">
        <v>41.336407647493232</v>
      </c>
      <c r="AO35" s="156">
        <v>2507.5004094848923</v>
      </c>
      <c r="AP35" s="174">
        <v>1885.8602974370535</v>
      </c>
      <c r="AQ35" s="175">
        <v>153.70051859115151</v>
      </c>
      <c r="AR35" s="176">
        <v>276.56838808688303</v>
      </c>
      <c r="AS35" s="176">
        <v>102.50113045664456</v>
      </c>
      <c r="AT35" s="175">
        <v>44.812519666801947</v>
      </c>
      <c r="AU35" s="177">
        <v>38.136054384979651</v>
      </c>
      <c r="AV35" s="156">
        <v>2501.5789086235145</v>
      </c>
      <c r="AW35" s="172">
        <v>2396.5932974794609</v>
      </c>
      <c r="AX35" s="178">
        <v>0.94499999999999995</v>
      </c>
      <c r="AY35" s="179">
        <v>-0.20911362062384964</v>
      </c>
      <c r="AZ35" s="172">
        <v>1360.6194690265486</v>
      </c>
      <c r="BA35" s="175">
        <v>11984.261870282764</v>
      </c>
      <c r="BB35" s="175">
        <v>7150</v>
      </c>
      <c r="BC35" s="177">
        <v>9.804347826086957</v>
      </c>
      <c r="BD35" s="180"/>
      <c r="BE35" s="168"/>
      <c r="BF35" s="181"/>
    </row>
    <row r="36" spans="1:58" x14ac:dyDescent="0.2">
      <c r="A36" s="112">
        <v>32</v>
      </c>
      <c r="B36" s="166" t="s">
        <v>53</v>
      </c>
      <c r="C36" s="146">
        <v>751500</v>
      </c>
      <c r="D36" s="146">
        <v>325100</v>
      </c>
      <c r="E36" s="146">
        <v>0</v>
      </c>
      <c r="F36" s="167">
        <v>0</v>
      </c>
      <c r="G36" s="168"/>
      <c r="H36" s="168"/>
      <c r="I36" s="167">
        <v>0</v>
      </c>
      <c r="J36" s="167">
        <v>0</v>
      </c>
      <c r="K36" s="169">
        <v>0</v>
      </c>
      <c r="L36" s="150">
        <v>1.45</v>
      </c>
      <c r="M36" s="150">
        <v>1.45</v>
      </c>
      <c r="N36" s="167">
        <v>4679</v>
      </c>
      <c r="O36" s="167">
        <v>4813</v>
      </c>
      <c r="P36" s="170">
        <v>1441.4570000000001</v>
      </c>
      <c r="Q36" s="171">
        <v>532</v>
      </c>
      <c r="R36" s="125">
        <v>11</v>
      </c>
      <c r="S36" s="172">
        <v>107992.2</v>
      </c>
      <c r="T36" s="157">
        <v>0</v>
      </c>
      <c r="U36" s="173">
        <v>0</v>
      </c>
      <c r="V36" s="172">
        <v>636039.57999999996</v>
      </c>
      <c r="W36" s="157">
        <v>1935.95</v>
      </c>
      <c r="X36" s="157">
        <v>99160.3</v>
      </c>
      <c r="Y36" s="173">
        <v>73873.899999999994</v>
      </c>
      <c r="Z36" s="156">
        <v>475330.2</v>
      </c>
      <c r="AA36" s="167">
        <v>4137</v>
      </c>
      <c r="AB36" s="157">
        <v>1618.4969974687222</v>
      </c>
      <c r="AC36" s="157">
        <v>125.12063831302986</v>
      </c>
      <c r="AD36" s="157">
        <v>141.43509296858301</v>
      </c>
      <c r="AE36" s="157">
        <v>94.349861206459749</v>
      </c>
      <c r="AF36" s="157">
        <v>61.011833012752007</v>
      </c>
      <c r="AG36" s="157">
        <v>34.459685117902687</v>
      </c>
      <c r="AH36" s="156">
        <v>2074.8741080874493</v>
      </c>
      <c r="AI36" s="157">
        <v>1735.2968942410407</v>
      </c>
      <c r="AJ36" s="157">
        <v>151.48279659256178</v>
      </c>
      <c r="AK36" s="157">
        <v>162.98337142461389</v>
      </c>
      <c r="AL36" s="157">
        <v>97.702637269263462</v>
      </c>
      <c r="AM36" s="157">
        <v>64.484431054782178</v>
      </c>
      <c r="AN36" s="157">
        <v>22.484853521712029</v>
      </c>
      <c r="AO36" s="156">
        <v>2234.4349841039743</v>
      </c>
      <c r="AP36" s="174">
        <v>1676.8969458548813</v>
      </c>
      <c r="AQ36" s="175">
        <v>138.30171745279583</v>
      </c>
      <c r="AR36" s="176">
        <v>152.20923219659846</v>
      </c>
      <c r="AS36" s="176">
        <v>96.026249237861606</v>
      </c>
      <c r="AT36" s="175">
        <v>62.748132033767092</v>
      </c>
      <c r="AU36" s="177">
        <v>28.47226931980736</v>
      </c>
      <c r="AV36" s="156">
        <v>2154.6545460957113</v>
      </c>
      <c r="AW36" s="172">
        <v>2396.5932974794609</v>
      </c>
      <c r="AX36" s="178">
        <v>0.94499999999999995</v>
      </c>
      <c r="AY36" s="179">
        <v>0</v>
      </c>
      <c r="AZ36" s="172">
        <v>1360.6194690265486</v>
      </c>
      <c r="BA36" s="175">
        <v>11984.261870282764</v>
      </c>
      <c r="BB36" s="175">
        <v>7150</v>
      </c>
      <c r="BC36" s="177">
        <v>9.804347826086957</v>
      </c>
      <c r="BD36" s="180"/>
      <c r="BE36" s="168"/>
      <c r="BF36" s="181"/>
    </row>
    <row r="37" spans="1:58" x14ac:dyDescent="0.2">
      <c r="A37" s="112">
        <v>33</v>
      </c>
      <c r="B37" s="166" t="s">
        <v>54</v>
      </c>
      <c r="C37" s="146">
        <v>2862400</v>
      </c>
      <c r="D37" s="146">
        <v>352500</v>
      </c>
      <c r="E37" s="146">
        <v>839500</v>
      </c>
      <c r="F37" s="167">
        <v>118400</v>
      </c>
      <c r="G37" s="168"/>
      <c r="H37" s="168"/>
      <c r="I37" s="167">
        <v>518600</v>
      </c>
      <c r="J37" s="167">
        <v>0</v>
      </c>
      <c r="K37" s="169">
        <v>0</v>
      </c>
      <c r="L37" s="150">
        <v>1.48</v>
      </c>
      <c r="M37" s="150">
        <v>1.6</v>
      </c>
      <c r="N37" s="167">
        <v>5220</v>
      </c>
      <c r="O37" s="167">
        <v>5219</v>
      </c>
      <c r="P37" s="170">
        <v>1563.0449999999994</v>
      </c>
      <c r="Q37" s="171">
        <v>653</v>
      </c>
      <c r="R37" s="125">
        <v>12</v>
      </c>
      <c r="S37" s="172">
        <v>105156.5</v>
      </c>
      <c r="T37" s="157">
        <v>0</v>
      </c>
      <c r="U37" s="173">
        <v>0</v>
      </c>
      <c r="V37" s="172">
        <v>538233</v>
      </c>
      <c r="W37" s="157">
        <v>37963</v>
      </c>
      <c r="X37" s="157">
        <v>89643</v>
      </c>
      <c r="Y37" s="173">
        <v>130110</v>
      </c>
      <c r="Z37" s="156">
        <v>848262.95</v>
      </c>
      <c r="AA37" s="167">
        <v>5654</v>
      </c>
      <c r="AB37" s="157">
        <v>1530.632949711026</v>
      </c>
      <c r="AC37" s="157">
        <v>83.689406130268196</v>
      </c>
      <c r="AD37" s="157">
        <v>53.675236270753516</v>
      </c>
      <c r="AE37" s="157">
        <v>87.179579407899212</v>
      </c>
      <c r="AF37" s="157">
        <v>36.130025542784161</v>
      </c>
      <c r="AG37" s="157">
        <v>68.861309067688367</v>
      </c>
      <c r="AH37" s="156">
        <v>1860.1685061304192</v>
      </c>
      <c r="AI37" s="157">
        <v>1596.4787965366904</v>
      </c>
      <c r="AJ37" s="157">
        <v>91.150201187967042</v>
      </c>
      <c r="AK37" s="157">
        <v>60.146496774605616</v>
      </c>
      <c r="AL37" s="157">
        <v>92.950705605796031</v>
      </c>
      <c r="AM37" s="157">
        <v>46.515041195631348</v>
      </c>
      <c r="AN37" s="157">
        <v>66.850086223414451</v>
      </c>
      <c r="AO37" s="156">
        <v>1954.0913275241046</v>
      </c>
      <c r="AP37" s="174">
        <v>1563.5558731238582</v>
      </c>
      <c r="AQ37" s="175">
        <v>87.419803659117619</v>
      </c>
      <c r="AR37" s="176">
        <v>56.910866522679569</v>
      </c>
      <c r="AS37" s="176">
        <v>90.065142506847621</v>
      </c>
      <c r="AT37" s="175">
        <v>41.322533369207754</v>
      </c>
      <c r="AU37" s="177">
        <v>67.855697645551402</v>
      </c>
      <c r="AV37" s="156">
        <v>1907.1299168272622</v>
      </c>
      <c r="AW37" s="172">
        <v>2396.5932974794609</v>
      </c>
      <c r="AX37" s="178">
        <v>0.94499999999999995</v>
      </c>
      <c r="AY37" s="179">
        <v>0</v>
      </c>
      <c r="AZ37" s="172">
        <v>1360.6194690265486</v>
      </c>
      <c r="BA37" s="175">
        <v>11984.261870282764</v>
      </c>
      <c r="BB37" s="175">
        <v>7150</v>
      </c>
      <c r="BC37" s="177">
        <v>9.804347826086957</v>
      </c>
      <c r="BD37" s="180"/>
      <c r="BE37" s="168"/>
      <c r="BF37" s="181"/>
    </row>
    <row r="38" spans="1:58" x14ac:dyDescent="0.2">
      <c r="A38" s="112">
        <v>34</v>
      </c>
      <c r="B38" s="166" t="s">
        <v>55</v>
      </c>
      <c r="C38" s="146">
        <v>790500</v>
      </c>
      <c r="D38" s="146">
        <v>0</v>
      </c>
      <c r="E38" s="146">
        <v>0</v>
      </c>
      <c r="F38" s="167">
        <v>3600</v>
      </c>
      <c r="G38" s="168"/>
      <c r="H38" s="168"/>
      <c r="I38" s="167">
        <v>0</v>
      </c>
      <c r="J38" s="167">
        <v>0</v>
      </c>
      <c r="K38" s="169">
        <v>0</v>
      </c>
      <c r="L38" s="150">
        <v>1.42</v>
      </c>
      <c r="M38" s="150">
        <v>1.42</v>
      </c>
      <c r="N38" s="167">
        <v>5964</v>
      </c>
      <c r="O38" s="167">
        <v>6075</v>
      </c>
      <c r="P38" s="170">
        <v>954.23399999999981</v>
      </c>
      <c r="Q38" s="171">
        <v>620</v>
      </c>
      <c r="R38" s="125">
        <v>15</v>
      </c>
      <c r="S38" s="172">
        <v>128078.5</v>
      </c>
      <c r="T38" s="157">
        <v>0</v>
      </c>
      <c r="U38" s="173">
        <v>24759.05</v>
      </c>
      <c r="V38" s="172">
        <v>579612.34</v>
      </c>
      <c r="W38" s="157">
        <v>32104.400000000001</v>
      </c>
      <c r="X38" s="157">
        <v>77115.350000000006</v>
      </c>
      <c r="Y38" s="173">
        <v>60137.45</v>
      </c>
      <c r="Z38" s="156">
        <v>599824.85</v>
      </c>
      <c r="AA38" s="167">
        <v>6196</v>
      </c>
      <c r="AB38" s="157">
        <v>1785.3524139013371</v>
      </c>
      <c r="AC38" s="157">
        <v>68.102369774200767</v>
      </c>
      <c r="AD38" s="157">
        <v>163.05881958417169</v>
      </c>
      <c r="AE38" s="157">
        <v>90.741892723839428</v>
      </c>
      <c r="AF38" s="157">
        <v>54.284820031298906</v>
      </c>
      <c r="AG38" s="157">
        <v>14.000799239883749</v>
      </c>
      <c r="AH38" s="156">
        <v>2175.5411152547313</v>
      </c>
      <c r="AI38" s="157">
        <v>1810.7011809412597</v>
      </c>
      <c r="AJ38" s="157">
        <v>72.31007407407408</v>
      </c>
      <c r="AK38" s="157">
        <v>105.90272702331961</v>
      </c>
      <c r="AL38" s="157">
        <v>93.378450758982979</v>
      </c>
      <c r="AM38" s="157">
        <v>29.626430727023315</v>
      </c>
      <c r="AN38" s="157">
        <v>57.194013717421129</v>
      </c>
      <c r="AO38" s="156">
        <v>2169.1128772420807</v>
      </c>
      <c r="AP38" s="174">
        <v>1798.0267974212984</v>
      </c>
      <c r="AQ38" s="175">
        <v>70.206221924137424</v>
      </c>
      <c r="AR38" s="176">
        <v>134.48077330374565</v>
      </c>
      <c r="AS38" s="176">
        <v>92.06017174141121</v>
      </c>
      <c r="AT38" s="175">
        <v>41.955625379161113</v>
      </c>
      <c r="AU38" s="177">
        <v>35.597406478652438</v>
      </c>
      <c r="AV38" s="156">
        <v>2172.326996248406</v>
      </c>
      <c r="AW38" s="172">
        <v>2396.5932974794609</v>
      </c>
      <c r="AX38" s="178">
        <v>0.94499999999999995</v>
      </c>
      <c r="AY38" s="179">
        <v>0</v>
      </c>
      <c r="AZ38" s="172">
        <v>1360.6194690265486</v>
      </c>
      <c r="BA38" s="175">
        <v>11984.261870282764</v>
      </c>
      <c r="BB38" s="175">
        <v>7150</v>
      </c>
      <c r="BC38" s="177">
        <v>9.804347826086957</v>
      </c>
      <c r="BD38" s="180"/>
      <c r="BE38" s="168"/>
      <c r="BF38" s="181"/>
    </row>
    <row r="39" spans="1:58" x14ac:dyDescent="0.2">
      <c r="A39" s="112">
        <v>35</v>
      </c>
      <c r="B39" s="166" t="s">
        <v>56</v>
      </c>
      <c r="C39" s="146">
        <v>2165900</v>
      </c>
      <c r="D39" s="146">
        <v>379700</v>
      </c>
      <c r="E39" s="146">
        <v>1195900</v>
      </c>
      <c r="F39" s="167">
        <v>12300</v>
      </c>
      <c r="G39" s="168"/>
      <c r="H39" s="168"/>
      <c r="I39" s="167">
        <v>0</v>
      </c>
      <c r="J39" s="167">
        <v>0</v>
      </c>
      <c r="K39" s="169">
        <v>0</v>
      </c>
      <c r="L39" s="150">
        <v>1.42</v>
      </c>
      <c r="M39" s="150">
        <v>1.49</v>
      </c>
      <c r="N39" s="167">
        <v>4538</v>
      </c>
      <c r="O39" s="167">
        <v>4552</v>
      </c>
      <c r="P39" s="170">
        <v>1416.3539999999998</v>
      </c>
      <c r="Q39" s="171">
        <v>607</v>
      </c>
      <c r="R39" s="125">
        <v>15</v>
      </c>
      <c r="S39" s="172">
        <v>55010.559999999998</v>
      </c>
      <c r="T39" s="157">
        <v>50301.75</v>
      </c>
      <c r="U39" s="173">
        <v>70412.850000000006</v>
      </c>
      <c r="V39" s="172">
        <v>265112.03999999998</v>
      </c>
      <c r="W39" s="157">
        <v>0</v>
      </c>
      <c r="X39" s="157">
        <v>40785</v>
      </c>
      <c r="Y39" s="173">
        <v>86725.5</v>
      </c>
      <c r="Z39" s="156">
        <v>241050.45</v>
      </c>
      <c r="AA39" s="167">
        <v>3592</v>
      </c>
      <c r="AB39" s="157">
        <v>1553.112670143752</v>
      </c>
      <c r="AC39" s="157">
        <v>47.105766123108566</v>
      </c>
      <c r="AD39" s="157">
        <v>81.97335830762448</v>
      </c>
      <c r="AE39" s="157">
        <v>100.89070866572303</v>
      </c>
      <c r="AF39" s="157">
        <v>48.817452622300571</v>
      </c>
      <c r="AG39" s="157">
        <v>44.205729396209783</v>
      </c>
      <c r="AH39" s="156">
        <v>1876.1056852587185</v>
      </c>
      <c r="AI39" s="157">
        <v>1622.1050957494695</v>
      </c>
      <c r="AJ39" s="157">
        <v>43.313298183948447</v>
      </c>
      <c r="AK39" s="157">
        <v>93.20289982425308</v>
      </c>
      <c r="AL39" s="157">
        <v>104.81135975832983</v>
      </c>
      <c r="AM39" s="157">
        <v>60.773657000585828</v>
      </c>
      <c r="AN39" s="157">
        <v>76.624004100761553</v>
      </c>
      <c r="AO39" s="156">
        <v>2000.8303146173484</v>
      </c>
      <c r="AP39" s="174">
        <v>1587.6088829466107</v>
      </c>
      <c r="AQ39" s="175">
        <v>45.209532153528507</v>
      </c>
      <c r="AR39" s="176">
        <v>87.588129065938773</v>
      </c>
      <c r="AS39" s="176">
        <v>102.85103421202643</v>
      </c>
      <c r="AT39" s="175">
        <v>54.795554811443196</v>
      </c>
      <c r="AU39" s="177">
        <v>60.414866748485665</v>
      </c>
      <c r="AV39" s="156">
        <v>1938.4679999380332</v>
      </c>
      <c r="AW39" s="172">
        <v>2396.5932974794609</v>
      </c>
      <c r="AX39" s="178">
        <v>0.94499999999999995</v>
      </c>
      <c r="AY39" s="179">
        <v>0</v>
      </c>
      <c r="AZ39" s="172">
        <v>1360.6194690265486</v>
      </c>
      <c r="BA39" s="175">
        <v>11984.261870282764</v>
      </c>
      <c r="BB39" s="175">
        <v>7150</v>
      </c>
      <c r="BC39" s="177">
        <v>9.804347826086957</v>
      </c>
      <c r="BD39" s="180"/>
      <c r="BE39" s="168"/>
      <c r="BF39" s="181"/>
    </row>
    <row r="40" spans="1:58" x14ac:dyDescent="0.2">
      <c r="A40" s="112">
        <v>36</v>
      </c>
      <c r="B40" s="166" t="s">
        <v>57</v>
      </c>
      <c r="C40" s="146">
        <v>0</v>
      </c>
      <c r="D40" s="146">
        <v>0</v>
      </c>
      <c r="E40" s="146">
        <v>0</v>
      </c>
      <c r="F40" s="167">
        <v>192300</v>
      </c>
      <c r="G40" s="168"/>
      <c r="H40" s="168"/>
      <c r="I40" s="167">
        <v>0</v>
      </c>
      <c r="J40" s="167">
        <v>0</v>
      </c>
      <c r="K40" s="169">
        <v>0</v>
      </c>
      <c r="L40" s="150">
        <v>1</v>
      </c>
      <c r="M40" s="150">
        <v>1</v>
      </c>
      <c r="N40" s="167">
        <v>5681</v>
      </c>
      <c r="O40" s="167">
        <v>5705</v>
      </c>
      <c r="P40" s="170">
        <v>1218.9286000000002</v>
      </c>
      <c r="Q40" s="171">
        <v>528</v>
      </c>
      <c r="R40" s="125">
        <v>7</v>
      </c>
      <c r="S40" s="172">
        <v>69882.77</v>
      </c>
      <c r="T40" s="157">
        <v>4960.2</v>
      </c>
      <c r="U40" s="173">
        <v>19307.05</v>
      </c>
      <c r="V40" s="172">
        <v>414944.8</v>
      </c>
      <c r="W40" s="157">
        <v>11761.75</v>
      </c>
      <c r="X40" s="157">
        <v>357.8</v>
      </c>
      <c r="Y40" s="173">
        <v>44374.85</v>
      </c>
      <c r="Z40" s="156">
        <v>956637.79999999993</v>
      </c>
      <c r="AA40" s="167">
        <v>10945</v>
      </c>
      <c r="AB40" s="157">
        <v>1913.938195715443</v>
      </c>
      <c r="AC40" s="157">
        <v>143.33403156721235</v>
      </c>
      <c r="AD40" s="157">
        <v>136.93709440826146</v>
      </c>
      <c r="AE40" s="157">
        <v>129.02331036850049</v>
      </c>
      <c r="AF40" s="157">
        <v>46.725547145455607</v>
      </c>
      <c r="AG40" s="157">
        <v>36.364519157425335</v>
      </c>
      <c r="AH40" s="156">
        <v>2406.3226983622985</v>
      </c>
      <c r="AI40" s="157">
        <v>2079.228725939759</v>
      </c>
      <c r="AJ40" s="157">
        <v>150.95388840198655</v>
      </c>
      <c r="AK40" s="157">
        <v>151.89224656733859</v>
      </c>
      <c r="AL40" s="157">
        <v>134.01929113940946</v>
      </c>
      <c r="AM40" s="157">
        <v>70.507134092900969</v>
      </c>
      <c r="AN40" s="157">
        <v>35.619748758399062</v>
      </c>
      <c r="AO40" s="156">
        <v>2622.2210348997937</v>
      </c>
      <c r="AP40" s="174">
        <v>1996.5834608276009</v>
      </c>
      <c r="AQ40" s="175">
        <v>147.14395998459946</v>
      </c>
      <c r="AR40" s="176">
        <v>144.41467048780004</v>
      </c>
      <c r="AS40" s="176">
        <v>131.52130075395496</v>
      </c>
      <c r="AT40" s="175">
        <v>58.616340619178288</v>
      </c>
      <c r="AU40" s="177">
        <v>35.992133957912202</v>
      </c>
      <c r="AV40" s="156">
        <v>2514.2718666310457</v>
      </c>
      <c r="AW40" s="172">
        <v>2396.5932974794609</v>
      </c>
      <c r="AX40" s="178">
        <v>0.94499999999999995</v>
      </c>
      <c r="AY40" s="179">
        <v>-0.2203226160002428</v>
      </c>
      <c r="AZ40" s="172">
        <v>1360.6194690265486</v>
      </c>
      <c r="BA40" s="175">
        <v>11984.261870282764</v>
      </c>
      <c r="BB40" s="175">
        <v>7150</v>
      </c>
      <c r="BC40" s="177">
        <v>9.804347826086957</v>
      </c>
      <c r="BD40" s="180"/>
      <c r="BE40" s="168"/>
      <c r="BF40" s="181"/>
    </row>
    <row r="41" spans="1:58" x14ac:dyDescent="0.2">
      <c r="A41" s="112">
        <v>37</v>
      </c>
      <c r="B41" s="166" t="s">
        <v>58</v>
      </c>
      <c r="C41" s="146">
        <v>1397200</v>
      </c>
      <c r="D41" s="146">
        <v>1964000</v>
      </c>
      <c r="E41" s="146">
        <v>361900</v>
      </c>
      <c r="F41" s="167">
        <v>28800</v>
      </c>
      <c r="G41" s="168"/>
      <c r="H41" s="168"/>
      <c r="I41" s="167">
        <v>0</v>
      </c>
      <c r="J41" s="167">
        <v>0</v>
      </c>
      <c r="K41" s="169">
        <v>0</v>
      </c>
      <c r="L41" s="150">
        <v>1.59</v>
      </c>
      <c r="M41" s="150">
        <v>1.57</v>
      </c>
      <c r="N41" s="167">
        <v>1533</v>
      </c>
      <c r="O41" s="167">
        <v>1556</v>
      </c>
      <c r="P41" s="170">
        <v>1832.2354</v>
      </c>
      <c r="Q41" s="171">
        <v>204</v>
      </c>
      <c r="R41" s="125">
        <v>2</v>
      </c>
      <c r="S41" s="172">
        <v>0</v>
      </c>
      <c r="T41" s="157">
        <v>0</v>
      </c>
      <c r="U41" s="173">
        <v>31346.1</v>
      </c>
      <c r="V41" s="172">
        <v>272204.7</v>
      </c>
      <c r="W41" s="157">
        <v>0</v>
      </c>
      <c r="X41" s="157">
        <v>51384</v>
      </c>
      <c r="Y41" s="173">
        <v>13969.4</v>
      </c>
      <c r="Z41" s="156">
        <v>163958.45000000001</v>
      </c>
      <c r="AA41" s="167">
        <v>1545</v>
      </c>
      <c r="AB41" s="157">
        <v>1278.357082697242</v>
      </c>
      <c r="AC41" s="157">
        <v>111.79056316590562</v>
      </c>
      <c r="AD41" s="157">
        <v>34.757751685148946</v>
      </c>
      <c r="AE41" s="157">
        <v>161.96709169550553</v>
      </c>
      <c r="AF41" s="157">
        <v>44.851380734942381</v>
      </c>
      <c r="AG41" s="157">
        <v>39.576342683191996</v>
      </c>
      <c r="AH41" s="156">
        <v>1671.3002126619365</v>
      </c>
      <c r="AI41" s="157">
        <v>1310.4710260695608</v>
      </c>
      <c r="AJ41" s="157">
        <v>149.53536846615253</v>
      </c>
      <c r="AK41" s="157">
        <v>36.969408740359896</v>
      </c>
      <c r="AL41" s="157">
        <v>160.60202368353197</v>
      </c>
      <c r="AM41" s="157">
        <v>18.749785775492718</v>
      </c>
      <c r="AN41" s="157">
        <v>18.219108826049702</v>
      </c>
      <c r="AO41" s="156">
        <v>1694.5467215611477</v>
      </c>
      <c r="AP41" s="174">
        <v>1294.4140543834014</v>
      </c>
      <c r="AQ41" s="175">
        <v>130.66296581602907</v>
      </c>
      <c r="AR41" s="176">
        <v>35.863580212754421</v>
      </c>
      <c r="AS41" s="176">
        <v>161.28455768951875</v>
      </c>
      <c r="AT41" s="175">
        <v>31.80058325521755</v>
      </c>
      <c r="AU41" s="177">
        <v>28.897725754620851</v>
      </c>
      <c r="AV41" s="156">
        <v>1682.9234671115421</v>
      </c>
      <c r="AW41" s="172">
        <v>2396.5932974794609</v>
      </c>
      <c r="AX41" s="178">
        <v>0.94499999999999995</v>
      </c>
      <c r="AY41" s="179">
        <v>0</v>
      </c>
      <c r="AZ41" s="172">
        <v>1360.6194690265486</v>
      </c>
      <c r="BA41" s="175">
        <v>11984.261870282764</v>
      </c>
      <c r="BB41" s="175">
        <v>7150</v>
      </c>
      <c r="BC41" s="177">
        <v>9.804347826086957</v>
      </c>
      <c r="BD41" s="180"/>
      <c r="BE41" s="168"/>
      <c r="BF41" s="181"/>
    </row>
    <row r="42" spans="1:58" x14ac:dyDescent="0.2">
      <c r="A42" s="112">
        <v>38</v>
      </c>
      <c r="B42" s="166" t="s">
        <v>59</v>
      </c>
      <c r="C42" s="146">
        <v>4805200</v>
      </c>
      <c r="D42" s="146">
        <v>1241800</v>
      </c>
      <c r="E42" s="146">
        <v>1552100</v>
      </c>
      <c r="F42" s="167">
        <v>60600</v>
      </c>
      <c r="G42" s="168"/>
      <c r="H42" s="168"/>
      <c r="I42" s="167">
        <v>0</v>
      </c>
      <c r="J42" s="167">
        <v>0</v>
      </c>
      <c r="K42" s="169">
        <v>0</v>
      </c>
      <c r="L42" s="150">
        <v>1.33</v>
      </c>
      <c r="M42" s="150">
        <v>1.33</v>
      </c>
      <c r="N42" s="167">
        <v>8580</v>
      </c>
      <c r="O42" s="167">
        <v>8617</v>
      </c>
      <c r="P42" s="170">
        <v>3065.6619999999998</v>
      </c>
      <c r="Q42" s="171">
        <v>1092</v>
      </c>
      <c r="R42" s="125">
        <v>17</v>
      </c>
      <c r="S42" s="172">
        <v>41822.050000000003</v>
      </c>
      <c r="T42" s="157">
        <v>0</v>
      </c>
      <c r="U42" s="173">
        <v>4320</v>
      </c>
      <c r="V42" s="172">
        <v>485427.75</v>
      </c>
      <c r="W42" s="157">
        <v>32791.1</v>
      </c>
      <c r="X42" s="157">
        <v>88559.039999999994</v>
      </c>
      <c r="Y42" s="173">
        <v>146110.35</v>
      </c>
      <c r="Z42" s="156">
        <v>1174550.7</v>
      </c>
      <c r="AA42" s="167">
        <v>6470</v>
      </c>
      <c r="AB42" s="157">
        <v>1493.1581855985355</v>
      </c>
      <c r="AC42" s="157">
        <v>29.95876845376845</v>
      </c>
      <c r="AD42" s="157">
        <v>113.19199689199689</v>
      </c>
      <c r="AE42" s="157">
        <v>104.16749529946652</v>
      </c>
      <c r="AF42" s="157">
        <v>39.089514374514373</v>
      </c>
      <c r="AG42" s="157">
        <v>16.864840714840717</v>
      </c>
      <c r="AH42" s="156">
        <v>1796.4308013331226</v>
      </c>
      <c r="AI42" s="157">
        <v>1593.0692110247462</v>
      </c>
      <c r="AJ42" s="157">
        <v>30.506092607636067</v>
      </c>
      <c r="AK42" s="157">
        <v>101.87356388534293</v>
      </c>
      <c r="AL42" s="157">
        <v>108.01888052386056</v>
      </c>
      <c r="AM42" s="157">
        <v>39.575211790646399</v>
      </c>
      <c r="AN42" s="157">
        <v>35.815310819697494</v>
      </c>
      <c r="AO42" s="156">
        <v>1908.8582706519296</v>
      </c>
      <c r="AP42" s="174">
        <v>1543.1136983116407</v>
      </c>
      <c r="AQ42" s="175">
        <v>30.23243053070226</v>
      </c>
      <c r="AR42" s="176">
        <v>107.53278038866992</v>
      </c>
      <c r="AS42" s="176">
        <v>106.09318791166353</v>
      </c>
      <c r="AT42" s="175">
        <v>39.332363082580386</v>
      </c>
      <c r="AU42" s="177">
        <v>26.340075767269106</v>
      </c>
      <c r="AV42" s="156">
        <v>1852.6445359925258</v>
      </c>
      <c r="AW42" s="172">
        <v>2396.5932974794609</v>
      </c>
      <c r="AX42" s="178">
        <v>0.94499999999999995</v>
      </c>
      <c r="AY42" s="179">
        <v>0</v>
      </c>
      <c r="AZ42" s="172">
        <v>1360.6194690265486</v>
      </c>
      <c r="BA42" s="175">
        <v>11984.261870282764</v>
      </c>
      <c r="BB42" s="175">
        <v>7150</v>
      </c>
      <c r="BC42" s="177">
        <v>9.804347826086957</v>
      </c>
      <c r="BD42" s="180"/>
      <c r="BE42" s="168"/>
      <c r="BF42" s="181"/>
    </row>
    <row r="43" spans="1:58" x14ac:dyDescent="0.2">
      <c r="A43" s="112">
        <v>39</v>
      </c>
      <c r="B43" s="166" t="s">
        <v>60</v>
      </c>
      <c r="C43" s="146">
        <v>3226400</v>
      </c>
      <c r="D43" s="146">
        <v>1126800</v>
      </c>
      <c r="E43" s="146">
        <v>189700</v>
      </c>
      <c r="F43" s="167">
        <v>11800</v>
      </c>
      <c r="G43" s="168"/>
      <c r="H43" s="168"/>
      <c r="I43" s="167">
        <v>0</v>
      </c>
      <c r="J43" s="167">
        <v>0</v>
      </c>
      <c r="K43" s="169">
        <v>0</v>
      </c>
      <c r="L43" s="150">
        <v>1.52</v>
      </c>
      <c r="M43" s="150">
        <v>1.52</v>
      </c>
      <c r="N43" s="167">
        <v>4876</v>
      </c>
      <c r="O43" s="167">
        <v>4848</v>
      </c>
      <c r="P43" s="170">
        <v>2039.4508000000001</v>
      </c>
      <c r="Q43" s="171">
        <v>556</v>
      </c>
      <c r="R43" s="125">
        <v>16</v>
      </c>
      <c r="S43" s="172">
        <v>0</v>
      </c>
      <c r="T43" s="157">
        <v>7485</v>
      </c>
      <c r="U43" s="173">
        <v>21189.55</v>
      </c>
      <c r="V43" s="172">
        <v>710723.75</v>
      </c>
      <c r="W43" s="157">
        <v>38145.1</v>
      </c>
      <c r="X43" s="157">
        <v>67907.67</v>
      </c>
      <c r="Y43" s="173">
        <v>31660.2</v>
      </c>
      <c r="Z43" s="156">
        <v>408345.8</v>
      </c>
      <c r="AA43" s="167">
        <v>5849</v>
      </c>
      <c r="AB43" s="157">
        <v>1384.4910976155479</v>
      </c>
      <c r="AC43" s="157">
        <v>46.663146021328956</v>
      </c>
      <c r="AD43" s="157">
        <v>124.00108012031721</v>
      </c>
      <c r="AE43" s="157">
        <v>112.42562585023325</v>
      </c>
      <c r="AF43" s="157">
        <v>73.821499863275903</v>
      </c>
      <c r="AG43" s="157">
        <v>41.543088597210833</v>
      </c>
      <c r="AH43" s="156">
        <v>1782.945538067914</v>
      </c>
      <c r="AI43" s="157">
        <v>1451.700083624904</v>
      </c>
      <c r="AJ43" s="157">
        <v>38.040669691969192</v>
      </c>
      <c r="AK43" s="157">
        <v>132.06307068206823</v>
      </c>
      <c r="AL43" s="157">
        <v>115.89757677900761</v>
      </c>
      <c r="AM43" s="157">
        <v>71.184213421342136</v>
      </c>
      <c r="AN43" s="157">
        <v>65.133127062706279</v>
      </c>
      <c r="AO43" s="156">
        <v>1874.0187412619973</v>
      </c>
      <c r="AP43" s="174">
        <v>1418.0955906202259</v>
      </c>
      <c r="AQ43" s="175">
        <v>42.351907856649078</v>
      </c>
      <c r="AR43" s="176">
        <v>128.03207540119271</v>
      </c>
      <c r="AS43" s="176">
        <v>114.16160131462043</v>
      </c>
      <c r="AT43" s="175">
        <v>72.502856642309013</v>
      </c>
      <c r="AU43" s="177">
        <v>53.33810782995856</v>
      </c>
      <c r="AV43" s="156">
        <v>1828.4821396649559</v>
      </c>
      <c r="AW43" s="172">
        <v>2396.5932974794609</v>
      </c>
      <c r="AX43" s="178">
        <v>0.94499999999999995</v>
      </c>
      <c r="AY43" s="179">
        <v>0</v>
      </c>
      <c r="AZ43" s="172">
        <v>1360.6194690265486</v>
      </c>
      <c r="BA43" s="175">
        <v>11984.261870282764</v>
      </c>
      <c r="BB43" s="175">
        <v>7150</v>
      </c>
      <c r="BC43" s="177">
        <v>9.804347826086957</v>
      </c>
      <c r="BD43" s="180"/>
      <c r="BE43" s="168"/>
      <c r="BF43" s="181"/>
    </row>
    <row r="44" spans="1:58" x14ac:dyDescent="0.2">
      <c r="A44" s="112">
        <v>40</v>
      </c>
      <c r="B44" s="166" t="s">
        <v>61</v>
      </c>
      <c r="C44" s="146">
        <v>2241000</v>
      </c>
      <c r="D44" s="146">
        <v>0</v>
      </c>
      <c r="E44" s="146">
        <v>265000</v>
      </c>
      <c r="F44" s="167">
        <v>33600</v>
      </c>
      <c r="G44" s="168"/>
      <c r="H44" s="168"/>
      <c r="I44" s="167">
        <v>0</v>
      </c>
      <c r="J44" s="167">
        <v>0</v>
      </c>
      <c r="K44" s="169">
        <v>0</v>
      </c>
      <c r="L44" s="150">
        <v>1.45</v>
      </c>
      <c r="M44" s="150">
        <v>1.45</v>
      </c>
      <c r="N44" s="167">
        <v>5481</v>
      </c>
      <c r="O44" s="167">
        <v>5505</v>
      </c>
      <c r="P44" s="170">
        <v>1302.9569999999999</v>
      </c>
      <c r="Q44" s="171">
        <v>637</v>
      </c>
      <c r="R44" s="125">
        <v>11</v>
      </c>
      <c r="S44" s="172">
        <v>160600</v>
      </c>
      <c r="T44" s="157">
        <v>0</v>
      </c>
      <c r="U44" s="173">
        <v>65397.7</v>
      </c>
      <c r="V44" s="172">
        <v>540373.75</v>
      </c>
      <c r="W44" s="157">
        <v>217.4</v>
      </c>
      <c r="X44" s="157">
        <v>54927.46</v>
      </c>
      <c r="Y44" s="173">
        <v>29456.3</v>
      </c>
      <c r="Z44" s="156">
        <v>634780.89999999991</v>
      </c>
      <c r="AA44" s="167">
        <v>6429</v>
      </c>
      <c r="AB44" s="157">
        <v>1617.0380073004035</v>
      </c>
      <c r="AC44" s="157">
        <v>65.390859332238634</v>
      </c>
      <c r="AD44" s="157">
        <v>72.414005959982973</v>
      </c>
      <c r="AE44" s="157">
        <v>93.897192522336326</v>
      </c>
      <c r="AF44" s="157">
        <v>46.929678282551841</v>
      </c>
      <c r="AG44" s="157">
        <v>37.529812078087943</v>
      </c>
      <c r="AH44" s="156">
        <v>1933.1995554756011</v>
      </c>
      <c r="AI44" s="157">
        <v>1722.7705246459352</v>
      </c>
      <c r="AJ44" s="157">
        <v>61.614405086285196</v>
      </c>
      <c r="AK44" s="157">
        <v>47.880956706024833</v>
      </c>
      <c r="AL44" s="157">
        <v>97.099539264587989</v>
      </c>
      <c r="AM44" s="157">
        <v>50.484656372994245</v>
      </c>
      <c r="AN44" s="157">
        <v>55.845037844383896</v>
      </c>
      <c r="AO44" s="156">
        <v>2035.6951199202113</v>
      </c>
      <c r="AP44" s="174">
        <v>1669.9042659731695</v>
      </c>
      <c r="AQ44" s="175">
        <v>63.502632209261918</v>
      </c>
      <c r="AR44" s="176">
        <v>60.147481333003903</v>
      </c>
      <c r="AS44" s="176">
        <v>95.498365893462164</v>
      </c>
      <c r="AT44" s="175">
        <v>48.707167327773043</v>
      </c>
      <c r="AU44" s="177">
        <v>46.687424961235919</v>
      </c>
      <c r="AV44" s="156">
        <v>1984.4473376979063</v>
      </c>
      <c r="AW44" s="172">
        <v>2396.5932974794609</v>
      </c>
      <c r="AX44" s="178">
        <v>0.94499999999999995</v>
      </c>
      <c r="AY44" s="179">
        <v>0</v>
      </c>
      <c r="AZ44" s="172">
        <v>1360.6194690265486</v>
      </c>
      <c r="BA44" s="175">
        <v>11984.261870282764</v>
      </c>
      <c r="BB44" s="175">
        <v>7150</v>
      </c>
      <c r="BC44" s="177">
        <v>9.804347826086957</v>
      </c>
      <c r="BD44" s="180"/>
      <c r="BE44" s="168"/>
      <c r="BF44" s="181"/>
    </row>
    <row r="45" spans="1:58" x14ac:dyDescent="0.2">
      <c r="A45" s="112">
        <v>41</v>
      </c>
      <c r="B45" s="166" t="s">
        <v>62</v>
      </c>
      <c r="C45" s="146">
        <v>582600</v>
      </c>
      <c r="D45" s="146">
        <v>327200</v>
      </c>
      <c r="E45" s="146">
        <v>0</v>
      </c>
      <c r="F45" s="167">
        <v>87700</v>
      </c>
      <c r="G45" s="168"/>
      <c r="H45" s="168"/>
      <c r="I45" s="167">
        <v>0</v>
      </c>
      <c r="J45" s="167">
        <v>0</v>
      </c>
      <c r="K45" s="169">
        <v>0</v>
      </c>
      <c r="L45" s="150">
        <v>1.4</v>
      </c>
      <c r="M45" s="150">
        <v>1.38</v>
      </c>
      <c r="N45" s="167">
        <v>2854</v>
      </c>
      <c r="O45" s="167">
        <v>2834</v>
      </c>
      <c r="P45" s="170">
        <v>948.55500000000006</v>
      </c>
      <c r="Q45" s="171">
        <v>290</v>
      </c>
      <c r="R45" s="125">
        <v>8</v>
      </c>
      <c r="S45" s="172">
        <v>254540.4</v>
      </c>
      <c r="T45" s="157">
        <v>0</v>
      </c>
      <c r="U45" s="173">
        <v>380.4</v>
      </c>
      <c r="V45" s="172">
        <v>48475.649999999994</v>
      </c>
      <c r="W45" s="157">
        <v>0</v>
      </c>
      <c r="X45" s="157">
        <v>45173.95</v>
      </c>
      <c r="Y45" s="173">
        <v>25581.599999999999</v>
      </c>
      <c r="Z45" s="156">
        <v>335924.65</v>
      </c>
      <c r="AA45" s="167">
        <v>2194</v>
      </c>
      <c r="AB45" s="157">
        <v>1598.2505579520387</v>
      </c>
      <c r="AC45" s="157">
        <v>63.922261153935985</v>
      </c>
      <c r="AD45" s="157">
        <v>86.678976874562025</v>
      </c>
      <c r="AE45" s="157">
        <v>138.55378279735351</v>
      </c>
      <c r="AF45" s="157">
        <v>102.17345246437748</v>
      </c>
      <c r="AG45" s="157">
        <v>95.609915907498248</v>
      </c>
      <c r="AH45" s="156">
        <v>2085.1889471497661</v>
      </c>
      <c r="AI45" s="157">
        <v>1719.5280519923049</v>
      </c>
      <c r="AJ45" s="157">
        <v>61.232462949894149</v>
      </c>
      <c r="AK45" s="157">
        <v>87.37626440837451</v>
      </c>
      <c r="AL45" s="157">
        <v>148.93133547546921</v>
      </c>
      <c r="AM45" s="157">
        <v>68.813643848506231</v>
      </c>
      <c r="AN45" s="157">
        <v>68.678899082568805</v>
      </c>
      <c r="AO45" s="156">
        <v>2154.560657757118</v>
      </c>
      <c r="AP45" s="174">
        <v>1658.8893049721719</v>
      </c>
      <c r="AQ45" s="175">
        <v>62.577362051915067</v>
      </c>
      <c r="AR45" s="176">
        <v>87.027620641468275</v>
      </c>
      <c r="AS45" s="176">
        <v>143.74255913641136</v>
      </c>
      <c r="AT45" s="175">
        <v>85.493548156441847</v>
      </c>
      <c r="AU45" s="177">
        <v>82.144407495033533</v>
      </c>
      <c r="AV45" s="156">
        <v>2119.874802453442</v>
      </c>
      <c r="AW45" s="172">
        <v>2396.5932974794609</v>
      </c>
      <c r="AX45" s="178">
        <v>0.94499999999999995</v>
      </c>
      <c r="AY45" s="179">
        <v>0</v>
      </c>
      <c r="AZ45" s="172">
        <v>1360.6194690265486</v>
      </c>
      <c r="BA45" s="175">
        <v>11984.261870282764</v>
      </c>
      <c r="BB45" s="175">
        <v>7150</v>
      </c>
      <c r="BC45" s="177">
        <v>9.804347826086957</v>
      </c>
      <c r="BD45" s="180"/>
      <c r="BE45" s="168"/>
      <c r="BF45" s="181"/>
    </row>
    <row r="46" spans="1:58" x14ac:dyDescent="0.2">
      <c r="A46" s="112">
        <v>42</v>
      </c>
      <c r="B46" s="166" t="s">
        <v>63</v>
      </c>
      <c r="C46" s="146">
        <v>0</v>
      </c>
      <c r="D46" s="146">
        <v>944800</v>
      </c>
      <c r="E46" s="146">
        <v>0</v>
      </c>
      <c r="F46" s="167">
        <v>0</v>
      </c>
      <c r="G46" s="168"/>
      <c r="H46" s="168"/>
      <c r="I46" s="167">
        <v>0</v>
      </c>
      <c r="J46" s="167">
        <v>0</v>
      </c>
      <c r="K46" s="169">
        <v>0</v>
      </c>
      <c r="L46" s="150">
        <v>1.35</v>
      </c>
      <c r="M46" s="150">
        <v>1.25</v>
      </c>
      <c r="N46" s="167">
        <v>1750</v>
      </c>
      <c r="O46" s="167">
        <v>1777</v>
      </c>
      <c r="P46" s="170">
        <v>1536.537</v>
      </c>
      <c r="Q46" s="171">
        <v>164</v>
      </c>
      <c r="R46" s="125">
        <v>4</v>
      </c>
      <c r="S46" s="172">
        <v>0</v>
      </c>
      <c r="T46" s="157">
        <v>0</v>
      </c>
      <c r="U46" s="173">
        <v>0</v>
      </c>
      <c r="V46" s="172">
        <v>114431.55</v>
      </c>
      <c r="W46" s="157">
        <v>1338.4</v>
      </c>
      <c r="X46" s="157">
        <v>5616</v>
      </c>
      <c r="Y46" s="173">
        <v>3424</v>
      </c>
      <c r="Z46" s="156">
        <v>150422.84999999998</v>
      </c>
      <c r="AA46" s="167">
        <v>1547</v>
      </c>
      <c r="AB46" s="157">
        <v>2124.3927770071145</v>
      </c>
      <c r="AC46" s="157">
        <v>38.111695238095237</v>
      </c>
      <c r="AD46" s="157">
        <v>52.205790476190465</v>
      </c>
      <c r="AE46" s="157">
        <v>136.13030957919648</v>
      </c>
      <c r="AF46" s="157">
        <v>119.89078095238095</v>
      </c>
      <c r="AG46" s="157">
        <v>138.87645714285716</v>
      </c>
      <c r="AH46" s="156">
        <v>2609.6078103958348</v>
      </c>
      <c r="AI46" s="157">
        <v>2272.3287393160545</v>
      </c>
      <c r="AJ46" s="157">
        <v>38.711686362783723</v>
      </c>
      <c r="AK46" s="157">
        <v>30.621140498968295</v>
      </c>
      <c r="AL46" s="157">
        <v>142.58421799184109</v>
      </c>
      <c r="AM46" s="157">
        <v>127.77169386606641</v>
      </c>
      <c r="AN46" s="157">
        <v>133.30285124742073</v>
      </c>
      <c r="AO46" s="156">
        <v>2745.3203292831345</v>
      </c>
      <c r="AP46" s="174">
        <v>2198.3607581615843</v>
      </c>
      <c r="AQ46" s="175">
        <v>38.41169080043948</v>
      </c>
      <c r="AR46" s="176">
        <v>41.41346548757938</v>
      </c>
      <c r="AS46" s="176">
        <v>139.3572637855188</v>
      </c>
      <c r="AT46" s="175">
        <v>123.83123740922369</v>
      </c>
      <c r="AU46" s="177">
        <v>136.08965419513896</v>
      </c>
      <c r="AV46" s="156">
        <v>2677.4640698394842</v>
      </c>
      <c r="AW46" s="172">
        <v>2396.5932974794609</v>
      </c>
      <c r="AX46" s="178">
        <v>0.94499999999999995</v>
      </c>
      <c r="AY46" s="179">
        <v>-0.36443564703221087</v>
      </c>
      <c r="AZ46" s="172">
        <v>1360.6194690265486</v>
      </c>
      <c r="BA46" s="175">
        <v>11984.261870282764</v>
      </c>
      <c r="BB46" s="175">
        <v>7150</v>
      </c>
      <c r="BC46" s="177">
        <v>9.804347826086957</v>
      </c>
      <c r="BD46" s="180"/>
      <c r="BE46" s="168"/>
      <c r="BF46" s="181"/>
    </row>
    <row r="47" spans="1:58" x14ac:dyDescent="0.2">
      <c r="A47" s="112">
        <v>43</v>
      </c>
      <c r="B47" s="166" t="s">
        <v>64</v>
      </c>
      <c r="C47" s="146">
        <v>0</v>
      </c>
      <c r="D47" s="146">
        <v>0</v>
      </c>
      <c r="E47" s="146">
        <v>87500</v>
      </c>
      <c r="F47" s="167">
        <v>26200</v>
      </c>
      <c r="G47" s="168"/>
      <c r="H47" s="168"/>
      <c r="I47" s="167">
        <v>0</v>
      </c>
      <c r="J47" s="167">
        <v>0</v>
      </c>
      <c r="K47" s="169">
        <v>0</v>
      </c>
      <c r="L47" s="150">
        <v>1.4</v>
      </c>
      <c r="M47" s="150">
        <v>1.4</v>
      </c>
      <c r="N47" s="167">
        <v>1583</v>
      </c>
      <c r="O47" s="167">
        <v>1592</v>
      </c>
      <c r="P47" s="170">
        <v>306.53399999999999</v>
      </c>
      <c r="Q47" s="171">
        <v>187</v>
      </c>
      <c r="R47" s="125">
        <v>1</v>
      </c>
      <c r="S47" s="172">
        <v>30679.25</v>
      </c>
      <c r="T47" s="157">
        <v>0</v>
      </c>
      <c r="U47" s="173">
        <v>14955.75</v>
      </c>
      <c r="V47" s="172">
        <v>193422.2</v>
      </c>
      <c r="W47" s="157">
        <v>0</v>
      </c>
      <c r="X47" s="157">
        <v>22231.200000000001</v>
      </c>
      <c r="Y47" s="173">
        <v>1564</v>
      </c>
      <c r="Z47" s="156">
        <v>240323.05</v>
      </c>
      <c r="AA47" s="167">
        <v>1751</v>
      </c>
      <c r="AB47" s="157">
        <v>2036.8083666580828</v>
      </c>
      <c r="AC47" s="157">
        <v>52.109201937249942</v>
      </c>
      <c r="AD47" s="157">
        <v>29.067972204674671</v>
      </c>
      <c r="AE47" s="157">
        <v>120.41887683059754</v>
      </c>
      <c r="AF47" s="157">
        <v>70.961255001052862</v>
      </c>
      <c r="AG47" s="157">
        <v>130.10951779321962</v>
      </c>
      <c r="AH47" s="156">
        <v>2439.4751904248778</v>
      </c>
      <c r="AI47" s="157">
        <v>2169.366696393321</v>
      </c>
      <c r="AJ47" s="157">
        <v>42.403936348408706</v>
      </c>
      <c r="AK47" s="157">
        <v>59.703978224455611</v>
      </c>
      <c r="AL47" s="157">
        <v>124.70958505945113</v>
      </c>
      <c r="AM47" s="157">
        <v>96.732453936348421</v>
      </c>
      <c r="AN47" s="157">
        <v>60.799706867671702</v>
      </c>
      <c r="AO47" s="156">
        <v>2553.7163568296569</v>
      </c>
      <c r="AP47" s="174">
        <v>2103.0875315257017</v>
      </c>
      <c r="AQ47" s="175">
        <v>47.256569142829321</v>
      </c>
      <c r="AR47" s="176">
        <v>44.385975214565143</v>
      </c>
      <c r="AS47" s="176">
        <v>122.56423094502433</v>
      </c>
      <c r="AT47" s="175">
        <v>83.846854468700641</v>
      </c>
      <c r="AU47" s="177">
        <v>95.454612330445656</v>
      </c>
      <c r="AV47" s="156">
        <v>2496.5957736272671</v>
      </c>
      <c r="AW47" s="172">
        <v>2396.5932974794609</v>
      </c>
      <c r="AX47" s="178">
        <v>0.94499999999999995</v>
      </c>
      <c r="AY47" s="179">
        <v>-0.20471307528999294</v>
      </c>
      <c r="AZ47" s="172">
        <v>1360.6194690265486</v>
      </c>
      <c r="BA47" s="175">
        <v>11984.261870282764</v>
      </c>
      <c r="BB47" s="175">
        <v>7150</v>
      </c>
      <c r="BC47" s="177">
        <v>9.804347826086957</v>
      </c>
      <c r="BD47" s="180"/>
      <c r="BE47" s="168"/>
      <c r="BF47" s="181"/>
    </row>
    <row r="48" spans="1:58" x14ac:dyDescent="0.2">
      <c r="A48" s="112">
        <v>44</v>
      </c>
      <c r="B48" s="166" t="s">
        <v>65</v>
      </c>
      <c r="C48" s="146">
        <v>2142100</v>
      </c>
      <c r="D48" s="146">
        <v>212900</v>
      </c>
      <c r="E48" s="146">
        <v>154700</v>
      </c>
      <c r="F48" s="167">
        <v>7100</v>
      </c>
      <c r="G48" s="168"/>
      <c r="H48" s="168"/>
      <c r="I48" s="167">
        <v>0</v>
      </c>
      <c r="J48" s="167">
        <v>0</v>
      </c>
      <c r="K48" s="169">
        <v>0</v>
      </c>
      <c r="L48" s="150">
        <v>1.45</v>
      </c>
      <c r="M48" s="150">
        <v>1.45</v>
      </c>
      <c r="N48" s="167">
        <v>3692</v>
      </c>
      <c r="O48" s="167">
        <v>3715</v>
      </c>
      <c r="P48" s="170">
        <v>1084.6659999999999</v>
      </c>
      <c r="Q48" s="171">
        <v>427</v>
      </c>
      <c r="R48" s="125">
        <v>12</v>
      </c>
      <c r="S48" s="172">
        <v>0</v>
      </c>
      <c r="T48" s="157">
        <v>14950.8</v>
      </c>
      <c r="U48" s="173">
        <v>22231.75</v>
      </c>
      <c r="V48" s="172">
        <v>381896.4</v>
      </c>
      <c r="W48" s="157">
        <v>0</v>
      </c>
      <c r="X48" s="157">
        <v>83722</v>
      </c>
      <c r="Y48" s="173">
        <v>4543</v>
      </c>
      <c r="Z48" s="156">
        <v>471794.15</v>
      </c>
      <c r="AA48" s="167">
        <v>2666</v>
      </c>
      <c r="AB48" s="157">
        <v>1461.4374829526357</v>
      </c>
      <c r="AC48" s="157">
        <v>42.716341639581088</v>
      </c>
      <c r="AD48" s="157">
        <v>120.7440050559769</v>
      </c>
      <c r="AE48" s="157">
        <v>89.666452001029938</v>
      </c>
      <c r="AF48" s="157">
        <v>60.446343445287106</v>
      </c>
      <c r="AG48" s="157">
        <v>33.587188515709641</v>
      </c>
      <c r="AH48" s="156">
        <v>1808.5978136102203</v>
      </c>
      <c r="AI48" s="157">
        <v>1544.468094263982</v>
      </c>
      <c r="AJ48" s="157">
        <v>48.67728129205922</v>
      </c>
      <c r="AK48" s="157">
        <v>124.46998654104979</v>
      </c>
      <c r="AL48" s="157">
        <v>94.423283001307666</v>
      </c>
      <c r="AM48" s="157">
        <v>56.13890533871691</v>
      </c>
      <c r="AN48" s="157">
        <v>57.191933602512336</v>
      </c>
      <c r="AO48" s="156">
        <v>1925.3694840396281</v>
      </c>
      <c r="AP48" s="174">
        <v>1502.9527886083088</v>
      </c>
      <c r="AQ48" s="175">
        <v>45.696811465820154</v>
      </c>
      <c r="AR48" s="176">
        <v>122.60699579851334</v>
      </c>
      <c r="AS48" s="176">
        <v>92.044867501168795</v>
      </c>
      <c r="AT48" s="175">
        <v>58.292624392002011</v>
      </c>
      <c r="AU48" s="177">
        <v>45.389561059110989</v>
      </c>
      <c r="AV48" s="156">
        <v>1866.9836488249239</v>
      </c>
      <c r="AW48" s="172">
        <v>2396.5932974794609</v>
      </c>
      <c r="AX48" s="178">
        <v>0.94499999999999995</v>
      </c>
      <c r="AY48" s="179">
        <v>0</v>
      </c>
      <c r="AZ48" s="172">
        <v>1360.6194690265486</v>
      </c>
      <c r="BA48" s="175">
        <v>11984.261870282764</v>
      </c>
      <c r="BB48" s="175">
        <v>7150</v>
      </c>
      <c r="BC48" s="177">
        <v>9.804347826086957</v>
      </c>
      <c r="BD48" s="180"/>
      <c r="BE48" s="168"/>
      <c r="BF48" s="181"/>
    </row>
    <row r="49" spans="1:58" x14ac:dyDescent="0.2">
      <c r="A49" s="112">
        <v>45</v>
      </c>
      <c r="B49" s="166" t="s">
        <v>66</v>
      </c>
      <c r="C49" s="146">
        <v>1324300</v>
      </c>
      <c r="D49" s="146">
        <v>78200</v>
      </c>
      <c r="E49" s="146">
        <v>1254800</v>
      </c>
      <c r="F49" s="167">
        <v>0</v>
      </c>
      <c r="G49" s="168"/>
      <c r="H49" s="168"/>
      <c r="I49" s="167">
        <v>0</v>
      </c>
      <c r="J49" s="167">
        <v>0</v>
      </c>
      <c r="K49" s="169">
        <v>0</v>
      </c>
      <c r="L49" s="150">
        <v>1.45</v>
      </c>
      <c r="M49" s="150">
        <v>1.45</v>
      </c>
      <c r="N49" s="167">
        <v>2803</v>
      </c>
      <c r="O49" s="167">
        <v>2879</v>
      </c>
      <c r="P49" s="170">
        <v>776.79900000000009</v>
      </c>
      <c r="Q49" s="171">
        <v>424</v>
      </c>
      <c r="R49" s="125">
        <v>12</v>
      </c>
      <c r="S49" s="172">
        <v>0</v>
      </c>
      <c r="T49" s="157">
        <v>9007.75</v>
      </c>
      <c r="U49" s="173">
        <v>0</v>
      </c>
      <c r="V49" s="172">
        <v>193792.7</v>
      </c>
      <c r="W49" s="157">
        <v>0</v>
      </c>
      <c r="X49" s="157">
        <v>56456.28</v>
      </c>
      <c r="Y49" s="173">
        <v>3965</v>
      </c>
      <c r="Z49" s="156">
        <v>278812.80000000005</v>
      </c>
      <c r="AA49" s="167">
        <v>1506</v>
      </c>
      <c r="AB49" s="157">
        <v>1550.3880264816908</v>
      </c>
      <c r="AC49" s="157">
        <v>25.585467951004876</v>
      </c>
      <c r="AD49" s="157">
        <v>109.53305981686289</v>
      </c>
      <c r="AE49" s="157">
        <v>91.850086274156169</v>
      </c>
      <c r="AF49" s="157">
        <v>77.026138660958509</v>
      </c>
      <c r="AG49" s="157">
        <v>70.990855036270659</v>
      </c>
      <c r="AH49" s="156">
        <v>1925.373634220944</v>
      </c>
      <c r="AI49" s="157">
        <v>1554.3300862952192</v>
      </c>
      <c r="AJ49" s="157">
        <v>34.723225657056851</v>
      </c>
      <c r="AK49" s="157">
        <v>109.61642931573463</v>
      </c>
      <c r="AL49" s="157">
        <v>91.902419861249399</v>
      </c>
      <c r="AM49" s="157">
        <v>76.293053143452582</v>
      </c>
      <c r="AN49" s="157">
        <v>89.478198448535366</v>
      </c>
      <c r="AO49" s="156">
        <v>1956.3434127212481</v>
      </c>
      <c r="AP49" s="174">
        <v>1552.359056388455</v>
      </c>
      <c r="AQ49" s="175">
        <v>30.154346804030865</v>
      </c>
      <c r="AR49" s="176">
        <v>109.57474456629876</v>
      </c>
      <c r="AS49" s="176">
        <v>91.876253067702777</v>
      </c>
      <c r="AT49" s="175">
        <v>76.659595902205552</v>
      </c>
      <c r="AU49" s="177">
        <v>80.234526742403006</v>
      </c>
      <c r="AV49" s="156">
        <v>1940.8585234710959</v>
      </c>
      <c r="AW49" s="172">
        <v>2396.5932974794609</v>
      </c>
      <c r="AX49" s="178">
        <v>0.94499999999999995</v>
      </c>
      <c r="AY49" s="179">
        <v>0</v>
      </c>
      <c r="AZ49" s="172">
        <v>1360.6194690265486</v>
      </c>
      <c r="BA49" s="175">
        <v>11984.261870282764</v>
      </c>
      <c r="BB49" s="175">
        <v>7150</v>
      </c>
      <c r="BC49" s="177">
        <v>9.804347826086957</v>
      </c>
      <c r="BD49" s="180"/>
      <c r="BE49" s="168"/>
      <c r="BF49" s="181"/>
    </row>
    <row r="50" spans="1:58" x14ac:dyDescent="0.2">
      <c r="A50" s="112">
        <v>46</v>
      </c>
      <c r="B50" s="166" t="s">
        <v>67</v>
      </c>
      <c r="C50" s="146">
        <v>2115100</v>
      </c>
      <c r="D50" s="146">
        <v>0</v>
      </c>
      <c r="E50" s="146">
        <v>959900</v>
      </c>
      <c r="F50" s="167">
        <v>0</v>
      </c>
      <c r="G50" s="168"/>
      <c r="H50" s="168"/>
      <c r="I50" s="167">
        <v>0</v>
      </c>
      <c r="J50" s="167">
        <v>0</v>
      </c>
      <c r="K50" s="169">
        <v>0</v>
      </c>
      <c r="L50" s="150">
        <v>1.24</v>
      </c>
      <c r="M50" s="150">
        <v>1.24</v>
      </c>
      <c r="N50" s="167">
        <v>4621</v>
      </c>
      <c r="O50" s="167">
        <v>4683</v>
      </c>
      <c r="P50" s="170">
        <v>958.23700000000008</v>
      </c>
      <c r="Q50" s="171">
        <v>595</v>
      </c>
      <c r="R50" s="125">
        <v>27</v>
      </c>
      <c r="S50" s="172">
        <v>17235.25</v>
      </c>
      <c r="T50" s="157">
        <v>0</v>
      </c>
      <c r="U50" s="173">
        <v>3356.15</v>
      </c>
      <c r="V50" s="172">
        <v>320688.75</v>
      </c>
      <c r="W50" s="157">
        <v>2292.65</v>
      </c>
      <c r="X50" s="157">
        <v>102851</v>
      </c>
      <c r="Y50" s="173">
        <v>25989.200000000001</v>
      </c>
      <c r="Z50" s="156">
        <v>492465.05000000005</v>
      </c>
      <c r="AA50" s="167">
        <v>3210</v>
      </c>
      <c r="AB50" s="157">
        <v>1542.2195398104514</v>
      </c>
      <c r="AC50" s="157">
        <v>40.962468441174344</v>
      </c>
      <c r="AD50" s="157">
        <v>62.52642285219649</v>
      </c>
      <c r="AE50" s="157">
        <v>79.281775483156579</v>
      </c>
      <c r="AF50" s="157">
        <v>63.269378922311184</v>
      </c>
      <c r="AG50" s="157">
        <v>58.157029502993588</v>
      </c>
      <c r="AH50" s="156">
        <v>1846.4166150122835</v>
      </c>
      <c r="AI50" s="157">
        <v>1656.8381703699872</v>
      </c>
      <c r="AJ50" s="157">
        <v>40.817061712577413</v>
      </c>
      <c r="AK50" s="157">
        <v>74.865449498184944</v>
      </c>
      <c r="AL50" s="157">
        <v>82.546154378858517</v>
      </c>
      <c r="AM50" s="157">
        <v>60.141120364438741</v>
      </c>
      <c r="AN50" s="157">
        <v>55.089963698483885</v>
      </c>
      <c r="AO50" s="156">
        <v>1970.2979200225309</v>
      </c>
      <c r="AP50" s="174">
        <v>1599.5288550902192</v>
      </c>
      <c r="AQ50" s="175">
        <v>40.889765076875875</v>
      </c>
      <c r="AR50" s="176">
        <v>68.695936175190724</v>
      </c>
      <c r="AS50" s="176">
        <v>80.913964931007541</v>
      </c>
      <c r="AT50" s="175">
        <v>61.705249643374962</v>
      </c>
      <c r="AU50" s="177">
        <v>56.623496600738733</v>
      </c>
      <c r="AV50" s="156">
        <v>1908.3572675174071</v>
      </c>
      <c r="AW50" s="172">
        <v>2396.5932974794609</v>
      </c>
      <c r="AX50" s="178">
        <v>0.94499999999999995</v>
      </c>
      <c r="AY50" s="179">
        <v>0</v>
      </c>
      <c r="AZ50" s="172">
        <v>1360.6194690265486</v>
      </c>
      <c r="BA50" s="175">
        <v>11984.261870282764</v>
      </c>
      <c r="BB50" s="175">
        <v>7150</v>
      </c>
      <c r="BC50" s="177">
        <v>9.804347826086957</v>
      </c>
      <c r="BD50" s="180"/>
      <c r="BE50" s="168"/>
      <c r="BF50" s="181"/>
    </row>
    <row r="51" spans="1:58" x14ac:dyDescent="0.2">
      <c r="A51" s="112">
        <v>48</v>
      </c>
      <c r="B51" s="166" t="s">
        <v>68</v>
      </c>
      <c r="C51" s="146">
        <v>412600</v>
      </c>
      <c r="D51" s="146">
        <v>160900</v>
      </c>
      <c r="E51" s="146">
        <v>485700</v>
      </c>
      <c r="F51" s="167">
        <v>100</v>
      </c>
      <c r="G51" s="168"/>
      <c r="H51" s="168"/>
      <c r="I51" s="167">
        <v>0</v>
      </c>
      <c r="J51" s="167">
        <v>0</v>
      </c>
      <c r="K51" s="169">
        <v>0</v>
      </c>
      <c r="L51" s="150">
        <v>1.23</v>
      </c>
      <c r="M51" s="150">
        <v>1.23</v>
      </c>
      <c r="N51" s="167">
        <v>4979</v>
      </c>
      <c r="O51" s="167">
        <v>4973</v>
      </c>
      <c r="P51" s="170">
        <v>1360.7560000000003</v>
      </c>
      <c r="Q51" s="171">
        <v>596</v>
      </c>
      <c r="R51" s="125">
        <v>8</v>
      </c>
      <c r="S51" s="172">
        <v>0</v>
      </c>
      <c r="T51" s="157">
        <v>0</v>
      </c>
      <c r="U51" s="173">
        <v>25943.8</v>
      </c>
      <c r="V51" s="172">
        <v>503586.5</v>
      </c>
      <c r="W51" s="157">
        <v>4848</v>
      </c>
      <c r="X51" s="157">
        <v>70514</v>
      </c>
      <c r="Y51" s="173">
        <v>3665.3</v>
      </c>
      <c r="Z51" s="156">
        <v>499454.65</v>
      </c>
      <c r="AA51" s="167">
        <v>4778</v>
      </c>
      <c r="AB51" s="157">
        <v>1820.3602907541301</v>
      </c>
      <c r="AC51" s="157">
        <v>38.35246033340028</v>
      </c>
      <c r="AD51" s="157">
        <v>48.331257950056909</v>
      </c>
      <c r="AE51" s="157">
        <v>110.39799905538121</v>
      </c>
      <c r="AF51" s="157">
        <v>52.642083417018149</v>
      </c>
      <c r="AG51" s="157">
        <v>73.772578161612103</v>
      </c>
      <c r="AH51" s="156">
        <v>2143.8566696715989</v>
      </c>
      <c r="AI51" s="157">
        <v>1901.2036477689994</v>
      </c>
      <c r="AJ51" s="157">
        <v>32.557718345733626</v>
      </c>
      <c r="AK51" s="157">
        <v>35.791708559554927</v>
      </c>
      <c r="AL51" s="157">
        <v>113.49736779539519</v>
      </c>
      <c r="AM51" s="157">
        <v>58.344453381593944</v>
      </c>
      <c r="AN51" s="157">
        <v>114.42166365037872</v>
      </c>
      <c r="AO51" s="156">
        <v>2255.8165595016562</v>
      </c>
      <c r="AP51" s="174">
        <v>1860.7819692615649</v>
      </c>
      <c r="AQ51" s="175">
        <v>35.455089339566953</v>
      </c>
      <c r="AR51" s="176">
        <v>42.061483254805921</v>
      </c>
      <c r="AS51" s="176">
        <v>111.94768342538819</v>
      </c>
      <c r="AT51" s="175">
        <v>55.493268399306046</v>
      </c>
      <c r="AU51" s="177">
        <v>94.097120905995411</v>
      </c>
      <c r="AV51" s="156">
        <v>2199.8366145866275</v>
      </c>
      <c r="AW51" s="172">
        <v>2396.5932974794609</v>
      </c>
      <c r="AX51" s="178">
        <v>0.94499999999999995</v>
      </c>
      <c r="AY51" s="179">
        <v>0</v>
      </c>
      <c r="AZ51" s="172">
        <v>1360.6194690265486</v>
      </c>
      <c r="BA51" s="175">
        <v>11984.261870282764</v>
      </c>
      <c r="BB51" s="175">
        <v>7150</v>
      </c>
      <c r="BC51" s="177">
        <v>9.804347826086957</v>
      </c>
      <c r="BD51" s="180"/>
      <c r="BE51" s="168"/>
      <c r="BF51" s="181"/>
    </row>
    <row r="52" spans="1:58" x14ac:dyDescent="0.2">
      <c r="A52" s="112">
        <v>50</v>
      </c>
      <c r="B52" s="166" t="s">
        <v>69</v>
      </c>
      <c r="C52" s="146">
        <v>0</v>
      </c>
      <c r="D52" s="146">
        <v>0</v>
      </c>
      <c r="E52" s="146">
        <v>1535700</v>
      </c>
      <c r="F52" s="167">
        <v>83300</v>
      </c>
      <c r="G52" s="168"/>
      <c r="H52" s="168"/>
      <c r="I52" s="167">
        <v>0</v>
      </c>
      <c r="J52" s="167">
        <v>0</v>
      </c>
      <c r="K52" s="169">
        <v>0</v>
      </c>
      <c r="L52" s="150">
        <v>1.52</v>
      </c>
      <c r="M52" s="150">
        <v>1.52</v>
      </c>
      <c r="N52" s="167">
        <v>6144</v>
      </c>
      <c r="O52" s="167">
        <v>6207</v>
      </c>
      <c r="P52" s="170">
        <v>892.20700000000011</v>
      </c>
      <c r="Q52" s="171">
        <v>820</v>
      </c>
      <c r="R52" s="125">
        <v>26</v>
      </c>
      <c r="S52" s="172">
        <v>77861.5</v>
      </c>
      <c r="T52" s="157">
        <v>5455.6</v>
      </c>
      <c r="U52" s="173">
        <v>24793.25</v>
      </c>
      <c r="V52" s="172">
        <v>1033443.88</v>
      </c>
      <c r="W52" s="157">
        <v>51475.4</v>
      </c>
      <c r="X52" s="157">
        <v>181440.15</v>
      </c>
      <c r="Y52" s="173">
        <v>26572.75</v>
      </c>
      <c r="Z52" s="156">
        <v>684361.8</v>
      </c>
      <c r="AA52" s="167">
        <v>3700</v>
      </c>
      <c r="AB52" s="157">
        <v>1856.7740749121447</v>
      </c>
      <c r="AC52" s="157">
        <v>46.839284939236116</v>
      </c>
      <c r="AD52" s="157">
        <v>171.19931098090277</v>
      </c>
      <c r="AE52" s="157">
        <v>97.190336473920979</v>
      </c>
      <c r="AF52" s="157">
        <v>74.483083767361109</v>
      </c>
      <c r="AG52" s="157">
        <v>74.284011501736103</v>
      </c>
      <c r="AH52" s="156">
        <v>2320.7701025753022</v>
      </c>
      <c r="AI52" s="157">
        <v>1794.4874112184521</v>
      </c>
      <c r="AJ52" s="157">
        <v>52.090693303259755</v>
      </c>
      <c r="AK52" s="157">
        <v>168.91542881692715</v>
      </c>
      <c r="AL52" s="157">
        <v>102.08111954407286</v>
      </c>
      <c r="AM52" s="157">
        <v>70.333193706030826</v>
      </c>
      <c r="AN52" s="157">
        <v>81.9744696847645</v>
      </c>
      <c r="AO52" s="156">
        <v>2269.8823162735071</v>
      </c>
      <c r="AP52" s="174">
        <v>1825.6307430652982</v>
      </c>
      <c r="AQ52" s="175">
        <v>49.464989121247939</v>
      </c>
      <c r="AR52" s="176">
        <v>170.05736989891494</v>
      </c>
      <c r="AS52" s="176">
        <v>99.635728008996921</v>
      </c>
      <c r="AT52" s="175">
        <v>72.408138736695975</v>
      </c>
      <c r="AU52" s="177">
        <v>78.129240593250302</v>
      </c>
      <c r="AV52" s="156">
        <v>2295.3262094244042</v>
      </c>
      <c r="AW52" s="172">
        <v>2396.5932974794609</v>
      </c>
      <c r="AX52" s="178">
        <v>0.94499999999999995</v>
      </c>
      <c r="AY52" s="179">
        <v>-2.6974394265445283E-2</v>
      </c>
      <c r="AZ52" s="172">
        <v>1360.6194690265486</v>
      </c>
      <c r="BA52" s="175">
        <v>11984.261870282764</v>
      </c>
      <c r="BB52" s="175">
        <v>7150</v>
      </c>
      <c r="BC52" s="177">
        <v>9.804347826086957</v>
      </c>
      <c r="BD52" s="180"/>
      <c r="BE52" s="168"/>
      <c r="BF52" s="181"/>
    </row>
    <row r="53" spans="1:58" x14ac:dyDescent="0.2">
      <c r="A53" s="112">
        <v>51</v>
      </c>
      <c r="B53" s="166" t="s">
        <v>70</v>
      </c>
      <c r="C53" s="146">
        <v>0</v>
      </c>
      <c r="D53" s="146">
        <v>0</v>
      </c>
      <c r="E53" s="146">
        <v>80500</v>
      </c>
      <c r="F53" s="167">
        <v>0</v>
      </c>
      <c r="G53" s="168"/>
      <c r="H53" s="168"/>
      <c r="I53" s="167">
        <v>0</v>
      </c>
      <c r="J53" s="167">
        <v>0</v>
      </c>
      <c r="K53" s="169">
        <v>0</v>
      </c>
      <c r="L53" s="150">
        <v>1.4</v>
      </c>
      <c r="M53" s="150">
        <v>1.35</v>
      </c>
      <c r="N53" s="167">
        <v>3471</v>
      </c>
      <c r="O53" s="167">
        <v>3574</v>
      </c>
      <c r="P53" s="170">
        <v>542.88499999999988</v>
      </c>
      <c r="Q53" s="171">
        <v>408</v>
      </c>
      <c r="R53" s="125">
        <v>4</v>
      </c>
      <c r="S53" s="172">
        <v>0</v>
      </c>
      <c r="T53" s="157">
        <v>0</v>
      </c>
      <c r="U53" s="173">
        <v>5944</v>
      </c>
      <c r="V53" s="172">
        <v>504117.93</v>
      </c>
      <c r="W53" s="157">
        <v>13719.3</v>
      </c>
      <c r="X53" s="157">
        <v>16204.6</v>
      </c>
      <c r="Y53" s="173">
        <v>0</v>
      </c>
      <c r="Z53" s="156">
        <v>367940.30000000005</v>
      </c>
      <c r="AA53" s="167">
        <v>2113</v>
      </c>
      <c r="AB53" s="157">
        <v>2068.3119800691716</v>
      </c>
      <c r="AC53" s="157">
        <v>52.008719869394035</v>
      </c>
      <c r="AD53" s="157">
        <v>137.27593392874292</v>
      </c>
      <c r="AE53" s="157">
        <v>108.43544765049734</v>
      </c>
      <c r="AF53" s="157">
        <v>69.264801690194957</v>
      </c>
      <c r="AG53" s="157">
        <v>51.040708729472776</v>
      </c>
      <c r="AH53" s="156">
        <v>2486.3375919374739</v>
      </c>
      <c r="AI53" s="157">
        <v>2138.5920380916891</v>
      </c>
      <c r="AJ53" s="157">
        <v>55.892911770192136</v>
      </c>
      <c r="AK53" s="157">
        <v>103.94130759186719</v>
      </c>
      <c r="AL53" s="157">
        <v>113.41593737834731</v>
      </c>
      <c r="AM53" s="157">
        <v>115.0517627308338</v>
      </c>
      <c r="AN53" s="157">
        <v>50.496987502331649</v>
      </c>
      <c r="AO53" s="156">
        <v>2577.3909450652613</v>
      </c>
      <c r="AP53" s="174">
        <v>2103.4520090804303</v>
      </c>
      <c r="AQ53" s="175">
        <v>53.950815819793085</v>
      </c>
      <c r="AR53" s="176">
        <v>120.60862076030506</v>
      </c>
      <c r="AS53" s="176">
        <v>110.92569251442232</v>
      </c>
      <c r="AT53" s="175">
        <v>92.158282210514386</v>
      </c>
      <c r="AU53" s="177">
        <v>50.768848115902216</v>
      </c>
      <c r="AV53" s="156">
        <v>2531.8642685013674</v>
      </c>
      <c r="AW53" s="172">
        <v>2396.5932974794609</v>
      </c>
      <c r="AX53" s="178">
        <v>0.94499999999999995</v>
      </c>
      <c r="AY53" s="179">
        <v>-0.23585825009806988</v>
      </c>
      <c r="AZ53" s="172">
        <v>1360.6194690265486</v>
      </c>
      <c r="BA53" s="175">
        <v>11984.261870282764</v>
      </c>
      <c r="BB53" s="175">
        <v>7150</v>
      </c>
      <c r="BC53" s="177">
        <v>9.804347826086957</v>
      </c>
      <c r="BD53" s="180"/>
      <c r="BE53" s="168"/>
      <c r="BF53" s="181"/>
    </row>
    <row r="54" spans="1:58" x14ac:dyDescent="0.2">
      <c r="A54" s="112">
        <v>52</v>
      </c>
      <c r="B54" s="166" t="s">
        <v>71</v>
      </c>
      <c r="C54" s="146">
        <v>0</v>
      </c>
      <c r="D54" s="146">
        <v>0</v>
      </c>
      <c r="E54" s="146">
        <v>0</v>
      </c>
      <c r="F54" s="167">
        <v>94000</v>
      </c>
      <c r="G54" s="168"/>
      <c r="H54" s="168"/>
      <c r="I54" s="167">
        <v>0</v>
      </c>
      <c r="J54" s="167">
        <v>0</v>
      </c>
      <c r="K54" s="169">
        <v>0</v>
      </c>
      <c r="L54" s="150">
        <v>0.92</v>
      </c>
      <c r="M54" s="150">
        <v>0.92</v>
      </c>
      <c r="N54" s="167">
        <v>26542</v>
      </c>
      <c r="O54" s="167">
        <v>26722</v>
      </c>
      <c r="P54" s="170">
        <v>2660.8819999999996</v>
      </c>
      <c r="Q54" s="171">
        <v>2798</v>
      </c>
      <c r="R54" s="125">
        <v>50</v>
      </c>
      <c r="S54" s="172">
        <v>214392.85</v>
      </c>
      <c r="T54" s="157">
        <v>20350.5</v>
      </c>
      <c r="U54" s="173">
        <v>83949.55</v>
      </c>
      <c r="V54" s="172">
        <v>2979721.96</v>
      </c>
      <c r="W54" s="157">
        <v>63745.64</v>
      </c>
      <c r="X54" s="157">
        <v>273919.94</v>
      </c>
      <c r="Y54" s="173">
        <v>261547.15</v>
      </c>
      <c r="Z54" s="156">
        <v>3007321.8000000003</v>
      </c>
      <c r="AA54" s="167">
        <v>35204</v>
      </c>
      <c r="AB54" s="157">
        <v>2878.1983479910114</v>
      </c>
      <c r="AC54" s="157">
        <v>49.342930701027299</v>
      </c>
      <c r="AD54" s="157">
        <v>321.97522417300883</v>
      </c>
      <c r="AE54" s="157">
        <v>123.14932276560363</v>
      </c>
      <c r="AF54" s="157">
        <v>69.203722402230426</v>
      </c>
      <c r="AG54" s="157">
        <v>108.50495566774671</v>
      </c>
      <c r="AH54" s="156">
        <v>3550.3745037006288</v>
      </c>
      <c r="AI54" s="157">
        <v>3026.4882505555634</v>
      </c>
      <c r="AJ54" s="157">
        <v>52.627888381608166</v>
      </c>
      <c r="AK54" s="157">
        <v>422.66692737569542</v>
      </c>
      <c r="AL54" s="157">
        <v>126.77288287348159</v>
      </c>
      <c r="AM54" s="157">
        <v>61.755468652545972</v>
      </c>
      <c r="AN54" s="157">
        <v>106.41120924082529</v>
      </c>
      <c r="AO54" s="156">
        <v>3796.72262707972</v>
      </c>
      <c r="AP54" s="174">
        <v>2952.3432992732874</v>
      </c>
      <c r="AQ54" s="175">
        <v>50.985409541317736</v>
      </c>
      <c r="AR54" s="176">
        <v>372.32107577435215</v>
      </c>
      <c r="AS54" s="176">
        <v>124.96110281954262</v>
      </c>
      <c r="AT54" s="175">
        <v>65.479595527388199</v>
      </c>
      <c r="AU54" s="177">
        <v>107.458082454286</v>
      </c>
      <c r="AV54" s="156">
        <v>3673.5485653901742</v>
      </c>
      <c r="AW54" s="172">
        <v>2396.5932974794609</v>
      </c>
      <c r="AX54" s="178">
        <v>0.94499999999999995</v>
      </c>
      <c r="AY54" s="179">
        <v>-1</v>
      </c>
      <c r="AZ54" s="172">
        <v>1360.6194690265486</v>
      </c>
      <c r="BA54" s="175">
        <v>11984.261870282764</v>
      </c>
      <c r="BB54" s="175">
        <v>7150</v>
      </c>
      <c r="BC54" s="177">
        <v>9.804347826086957</v>
      </c>
      <c r="BD54" s="180"/>
      <c r="BE54" s="168"/>
      <c r="BF54" s="181"/>
    </row>
    <row r="55" spans="1:58" x14ac:dyDescent="0.2">
      <c r="A55" s="112">
        <v>54</v>
      </c>
      <c r="B55" s="166" t="s">
        <v>72</v>
      </c>
      <c r="C55" s="146">
        <v>1943700</v>
      </c>
      <c r="D55" s="146">
        <v>1539200</v>
      </c>
      <c r="E55" s="146">
        <v>1963300</v>
      </c>
      <c r="F55" s="167">
        <v>0</v>
      </c>
      <c r="G55" s="168"/>
      <c r="H55" s="168"/>
      <c r="I55" s="167">
        <v>0</v>
      </c>
      <c r="J55" s="167">
        <v>0</v>
      </c>
      <c r="K55" s="169">
        <v>0</v>
      </c>
      <c r="L55" s="150">
        <v>1.27</v>
      </c>
      <c r="M55" s="150">
        <v>1.27</v>
      </c>
      <c r="N55" s="167">
        <v>8903</v>
      </c>
      <c r="O55" s="167">
        <v>9026</v>
      </c>
      <c r="P55" s="170">
        <v>3386.4267999999997</v>
      </c>
      <c r="Q55" s="171">
        <v>1172</v>
      </c>
      <c r="R55" s="125">
        <v>22</v>
      </c>
      <c r="S55" s="172">
        <v>106449.75</v>
      </c>
      <c r="T55" s="157">
        <v>7018</v>
      </c>
      <c r="U55" s="173">
        <v>14449.9</v>
      </c>
      <c r="V55" s="172">
        <v>362476.06</v>
      </c>
      <c r="W55" s="157">
        <v>12052.45</v>
      </c>
      <c r="X55" s="157">
        <v>126202.85</v>
      </c>
      <c r="Y55" s="173">
        <v>10781</v>
      </c>
      <c r="Z55" s="156">
        <v>1066983.2</v>
      </c>
      <c r="AA55" s="167">
        <v>7108</v>
      </c>
      <c r="AB55" s="157">
        <v>1627.8633783666564</v>
      </c>
      <c r="AC55" s="157">
        <v>39.355385825002813</v>
      </c>
      <c r="AD55" s="157">
        <v>93.078445467819819</v>
      </c>
      <c r="AE55" s="157">
        <v>94.380103279979892</v>
      </c>
      <c r="AF55" s="157">
        <v>63.916616121906472</v>
      </c>
      <c r="AG55" s="157">
        <v>113.78811636527013</v>
      </c>
      <c r="AH55" s="156">
        <v>2032.3820454266354</v>
      </c>
      <c r="AI55" s="157">
        <v>1757.741704741386</v>
      </c>
      <c r="AJ55" s="157">
        <v>46.475393308220688</v>
      </c>
      <c r="AK55" s="157">
        <v>105.4725718295295</v>
      </c>
      <c r="AL55" s="157">
        <v>99.422442890595846</v>
      </c>
      <c r="AM55" s="157">
        <v>75.564934633281624</v>
      </c>
      <c r="AN55" s="157">
        <v>78.957648275352682</v>
      </c>
      <c r="AO55" s="156">
        <v>2163.6346956783664</v>
      </c>
      <c r="AP55" s="174">
        <v>1692.8025415540212</v>
      </c>
      <c r="AQ55" s="175">
        <v>42.915389566611751</v>
      </c>
      <c r="AR55" s="176">
        <v>99.275508648674659</v>
      </c>
      <c r="AS55" s="176">
        <v>96.901273085287869</v>
      </c>
      <c r="AT55" s="175">
        <v>69.740775377594048</v>
      </c>
      <c r="AU55" s="177">
        <v>96.372882320311405</v>
      </c>
      <c r="AV55" s="156">
        <v>2098.0083705525008</v>
      </c>
      <c r="AW55" s="172">
        <v>2396.5932974794609</v>
      </c>
      <c r="AX55" s="178">
        <v>0.94499999999999995</v>
      </c>
      <c r="AY55" s="179">
        <v>0</v>
      </c>
      <c r="AZ55" s="172">
        <v>1360.6194690265486</v>
      </c>
      <c r="BA55" s="175">
        <v>11984.261870282764</v>
      </c>
      <c r="BB55" s="175">
        <v>7150</v>
      </c>
      <c r="BC55" s="177">
        <v>9.804347826086957</v>
      </c>
      <c r="BD55" s="180"/>
      <c r="BE55" s="168"/>
      <c r="BF55" s="181"/>
    </row>
    <row r="56" spans="1:58" x14ac:dyDescent="0.2">
      <c r="A56" s="112">
        <v>57</v>
      </c>
      <c r="B56" s="166" t="s">
        <v>73</v>
      </c>
      <c r="C56" s="146">
        <v>468500</v>
      </c>
      <c r="D56" s="146">
        <v>1902200</v>
      </c>
      <c r="E56" s="146">
        <v>50600</v>
      </c>
      <c r="F56" s="167">
        <v>2800</v>
      </c>
      <c r="G56" s="168"/>
      <c r="H56" s="168"/>
      <c r="I56" s="167">
        <v>0</v>
      </c>
      <c r="J56" s="167">
        <v>0</v>
      </c>
      <c r="K56" s="169">
        <v>0</v>
      </c>
      <c r="L56" s="150">
        <v>1.48</v>
      </c>
      <c r="M56" s="150">
        <v>1.48</v>
      </c>
      <c r="N56" s="167">
        <v>2668</v>
      </c>
      <c r="O56" s="167">
        <v>2657</v>
      </c>
      <c r="P56" s="170">
        <v>2061.9035999999996</v>
      </c>
      <c r="Q56" s="171">
        <v>301</v>
      </c>
      <c r="R56" s="125">
        <v>7</v>
      </c>
      <c r="S56" s="172">
        <v>0</v>
      </c>
      <c r="T56" s="157">
        <v>0</v>
      </c>
      <c r="U56" s="173">
        <v>10817.35</v>
      </c>
      <c r="V56" s="172">
        <v>348355.85</v>
      </c>
      <c r="W56" s="157">
        <v>19498.150000000001</v>
      </c>
      <c r="X56" s="157">
        <v>25640.65</v>
      </c>
      <c r="Y56" s="173">
        <v>6409.9</v>
      </c>
      <c r="Z56" s="156">
        <v>270436.3</v>
      </c>
      <c r="AA56" s="167">
        <v>2833</v>
      </c>
      <c r="AB56" s="157">
        <v>1703.5536696795439</v>
      </c>
      <c r="AC56" s="157">
        <v>57.445439780109965</v>
      </c>
      <c r="AD56" s="157">
        <v>82.051411794102947</v>
      </c>
      <c r="AE56" s="157">
        <v>153.92120885795075</v>
      </c>
      <c r="AF56" s="157">
        <v>85.071189405297361</v>
      </c>
      <c r="AG56" s="157">
        <v>72.280209895052465</v>
      </c>
      <c r="AH56" s="156">
        <v>2154.3231294120574</v>
      </c>
      <c r="AI56" s="157">
        <v>1707.8007032792004</v>
      </c>
      <c r="AJ56" s="157">
        <v>67.214101116547482</v>
      </c>
      <c r="AK56" s="157">
        <v>70.750997365449749</v>
      </c>
      <c r="AL56" s="157">
        <v>159.41367802571878</v>
      </c>
      <c r="AM56" s="157">
        <v>72.05153682097604</v>
      </c>
      <c r="AN56" s="157">
        <v>61.237987705432197</v>
      </c>
      <c r="AO56" s="156">
        <v>2138.4690043133251</v>
      </c>
      <c r="AP56" s="174">
        <v>1705.6771864793723</v>
      </c>
      <c r="AQ56" s="175">
        <v>62.329770448328723</v>
      </c>
      <c r="AR56" s="176">
        <v>76.401204579776348</v>
      </c>
      <c r="AS56" s="176">
        <v>156.66744344183476</v>
      </c>
      <c r="AT56" s="175">
        <v>78.561363113136707</v>
      </c>
      <c r="AU56" s="177">
        <v>66.759098800242327</v>
      </c>
      <c r="AV56" s="156">
        <v>2146.3960668626914</v>
      </c>
      <c r="AW56" s="172">
        <v>2396.5932974794609</v>
      </c>
      <c r="AX56" s="178">
        <v>0.94499999999999995</v>
      </c>
      <c r="AY56" s="179">
        <v>0</v>
      </c>
      <c r="AZ56" s="172">
        <v>1360.6194690265486</v>
      </c>
      <c r="BA56" s="175">
        <v>11984.261870282764</v>
      </c>
      <c r="BB56" s="175">
        <v>7150</v>
      </c>
      <c r="BC56" s="177">
        <v>9.804347826086957</v>
      </c>
      <c r="BD56" s="180"/>
      <c r="BE56" s="168"/>
      <c r="BF56" s="181"/>
    </row>
    <row r="57" spans="1:58" x14ac:dyDescent="0.2">
      <c r="A57" s="112">
        <v>60</v>
      </c>
      <c r="B57" s="166" t="s">
        <v>74</v>
      </c>
      <c r="C57" s="146">
        <v>3116100</v>
      </c>
      <c r="D57" s="146">
        <v>2349400</v>
      </c>
      <c r="E57" s="146">
        <v>287200</v>
      </c>
      <c r="F57" s="167">
        <v>54700</v>
      </c>
      <c r="G57" s="168"/>
      <c r="H57" s="168"/>
      <c r="I57" s="167">
        <v>0</v>
      </c>
      <c r="J57" s="167">
        <v>0</v>
      </c>
      <c r="K57" s="169">
        <v>0</v>
      </c>
      <c r="L57" s="150">
        <v>1.44</v>
      </c>
      <c r="M57" s="150">
        <v>1.44</v>
      </c>
      <c r="N57" s="167">
        <v>3628</v>
      </c>
      <c r="O57" s="167">
        <v>3644</v>
      </c>
      <c r="P57" s="170">
        <v>2637.1947999999998</v>
      </c>
      <c r="Q57" s="171">
        <v>430</v>
      </c>
      <c r="R57" s="125">
        <v>12</v>
      </c>
      <c r="S57" s="172">
        <v>0</v>
      </c>
      <c r="T57" s="157">
        <v>54352.800000000003</v>
      </c>
      <c r="U57" s="173">
        <v>0</v>
      </c>
      <c r="V57" s="172">
        <v>392100.25</v>
      </c>
      <c r="W57" s="157">
        <v>8108.1</v>
      </c>
      <c r="X57" s="157">
        <v>69692.009999999995</v>
      </c>
      <c r="Y57" s="173">
        <v>0</v>
      </c>
      <c r="Z57" s="156">
        <v>549487.04999999993</v>
      </c>
      <c r="AA57" s="167">
        <v>2606</v>
      </c>
      <c r="AB57" s="157">
        <v>1308.1389795470413</v>
      </c>
      <c r="AC57" s="157">
        <v>18.667521131936791</v>
      </c>
      <c r="AD57" s="157">
        <v>53.471811833884594</v>
      </c>
      <c r="AE57" s="157">
        <v>81.665833209540253</v>
      </c>
      <c r="AF57" s="157">
        <v>72.3462789415656</v>
      </c>
      <c r="AG57" s="157">
        <v>31.219606762219772</v>
      </c>
      <c r="AH57" s="156">
        <v>1565.5100314261886</v>
      </c>
      <c r="AI57" s="157">
        <v>1555.5635284214691</v>
      </c>
      <c r="AJ57" s="157">
        <v>22.743185144529821</v>
      </c>
      <c r="AK57" s="157">
        <v>51.490907427735088</v>
      </c>
      <c r="AL57" s="157">
        <v>83.551251287625632</v>
      </c>
      <c r="AM57" s="157">
        <v>30.726125137211856</v>
      </c>
      <c r="AN57" s="157">
        <v>35.46233077204537</v>
      </c>
      <c r="AO57" s="156">
        <v>1779.5373281906168</v>
      </c>
      <c r="AP57" s="174">
        <v>1431.8512539842552</v>
      </c>
      <c r="AQ57" s="175">
        <v>20.705353138233306</v>
      </c>
      <c r="AR57" s="176">
        <v>52.481359630809841</v>
      </c>
      <c r="AS57" s="176">
        <v>82.60854224858295</v>
      </c>
      <c r="AT57" s="175">
        <v>51.536202039388726</v>
      </c>
      <c r="AU57" s="177">
        <v>33.340968767132573</v>
      </c>
      <c r="AV57" s="156">
        <v>1672.5236798084027</v>
      </c>
      <c r="AW57" s="172">
        <v>2396.5932974794609</v>
      </c>
      <c r="AX57" s="178">
        <v>0.94499999999999995</v>
      </c>
      <c r="AY57" s="179">
        <v>0</v>
      </c>
      <c r="AZ57" s="172">
        <v>1360.6194690265486</v>
      </c>
      <c r="BA57" s="175">
        <v>11984.261870282764</v>
      </c>
      <c r="BB57" s="175">
        <v>7150</v>
      </c>
      <c r="BC57" s="177">
        <v>9.804347826086957</v>
      </c>
      <c r="BD57" s="180"/>
      <c r="BE57" s="168"/>
      <c r="BF57" s="181"/>
    </row>
    <row r="58" spans="1:58" x14ac:dyDescent="0.2">
      <c r="A58" s="112">
        <v>62</v>
      </c>
      <c r="B58" s="166" t="s">
        <v>75</v>
      </c>
      <c r="C58" s="146">
        <v>4056400</v>
      </c>
      <c r="D58" s="146">
        <v>1563900</v>
      </c>
      <c r="E58" s="146">
        <v>473000</v>
      </c>
      <c r="F58" s="167">
        <v>208300</v>
      </c>
      <c r="G58" s="168"/>
      <c r="H58" s="168"/>
      <c r="I58" s="167">
        <v>0</v>
      </c>
      <c r="J58" s="167">
        <v>0</v>
      </c>
      <c r="K58" s="169">
        <v>0</v>
      </c>
      <c r="L58" s="150">
        <v>1.45</v>
      </c>
      <c r="M58" s="150">
        <v>1.45</v>
      </c>
      <c r="N58" s="167">
        <v>4977</v>
      </c>
      <c r="O58" s="167">
        <v>5015</v>
      </c>
      <c r="P58" s="170">
        <v>2402.4285999999997</v>
      </c>
      <c r="Q58" s="171">
        <v>595</v>
      </c>
      <c r="R58" s="125">
        <v>22</v>
      </c>
      <c r="S58" s="172">
        <v>109945.55</v>
      </c>
      <c r="T58" s="157">
        <v>85220</v>
      </c>
      <c r="U58" s="173">
        <v>35900.85</v>
      </c>
      <c r="V58" s="172">
        <v>797590.5</v>
      </c>
      <c r="W58" s="157">
        <v>7615.8</v>
      </c>
      <c r="X58" s="157">
        <v>149147.9</v>
      </c>
      <c r="Y58" s="173">
        <v>0</v>
      </c>
      <c r="Z58" s="156">
        <v>903276.20000000007</v>
      </c>
      <c r="AA58" s="167">
        <v>4850</v>
      </c>
      <c r="AB58" s="157">
        <v>1383.835331856769</v>
      </c>
      <c r="AC58" s="157">
        <v>25.814794722389664</v>
      </c>
      <c r="AD58" s="157">
        <v>85.038276069921636</v>
      </c>
      <c r="AE58" s="157">
        <v>84.547529063882848</v>
      </c>
      <c r="AF58" s="157">
        <v>52.360538476994172</v>
      </c>
      <c r="AG58" s="157">
        <v>52.576284240841204</v>
      </c>
      <c r="AH58" s="156">
        <v>1684.1727544307987</v>
      </c>
      <c r="AI58" s="157">
        <v>1452.5984178637673</v>
      </c>
      <c r="AJ58" s="157">
        <v>30.365855766035228</v>
      </c>
      <c r="AK58" s="157">
        <v>85.217966101694927</v>
      </c>
      <c r="AL58" s="157">
        <v>87.332885574591273</v>
      </c>
      <c r="AM58" s="157">
        <v>36.267663675639753</v>
      </c>
      <c r="AN58" s="157">
        <v>35.978777002326353</v>
      </c>
      <c r="AO58" s="156">
        <v>1727.7615659840549</v>
      </c>
      <c r="AP58" s="174">
        <v>1418.216874860268</v>
      </c>
      <c r="AQ58" s="175">
        <v>28.090325244212444</v>
      </c>
      <c r="AR58" s="176">
        <v>85.128121085808289</v>
      </c>
      <c r="AS58" s="176">
        <v>85.940207319237061</v>
      </c>
      <c r="AT58" s="175">
        <v>44.314101076316959</v>
      </c>
      <c r="AU58" s="177">
        <v>44.277530621583779</v>
      </c>
      <c r="AV58" s="156">
        <v>1705.9671602074266</v>
      </c>
      <c r="AW58" s="172">
        <v>2396.5932974794609</v>
      </c>
      <c r="AX58" s="178">
        <v>0.94499999999999995</v>
      </c>
      <c r="AY58" s="179">
        <v>0</v>
      </c>
      <c r="AZ58" s="172">
        <v>1360.6194690265486</v>
      </c>
      <c r="BA58" s="175">
        <v>11984.261870282764</v>
      </c>
      <c r="BB58" s="175">
        <v>7150</v>
      </c>
      <c r="BC58" s="177">
        <v>9.804347826086957</v>
      </c>
      <c r="BD58" s="180"/>
      <c r="BE58" s="168"/>
      <c r="BF58" s="181"/>
    </row>
    <row r="59" spans="1:58" x14ac:dyDescent="0.2">
      <c r="A59" s="112">
        <v>63</v>
      </c>
      <c r="B59" s="166" t="s">
        <v>76</v>
      </c>
      <c r="C59" s="146">
        <v>6500500</v>
      </c>
      <c r="D59" s="146">
        <v>1349800</v>
      </c>
      <c r="E59" s="146">
        <v>176900</v>
      </c>
      <c r="F59" s="167">
        <v>187700</v>
      </c>
      <c r="G59" s="168"/>
      <c r="H59" s="168"/>
      <c r="I59" s="167">
        <v>0</v>
      </c>
      <c r="J59" s="167">
        <v>0</v>
      </c>
      <c r="K59" s="169">
        <v>0</v>
      </c>
      <c r="L59" s="150">
        <v>1.51</v>
      </c>
      <c r="M59" s="150">
        <v>1.48</v>
      </c>
      <c r="N59" s="167">
        <v>8425</v>
      </c>
      <c r="O59" s="167">
        <v>8536</v>
      </c>
      <c r="P59" s="170">
        <v>3124.8012000000003</v>
      </c>
      <c r="Q59" s="171">
        <v>960</v>
      </c>
      <c r="R59" s="125">
        <v>38</v>
      </c>
      <c r="S59" s="172">
        <v>256099</v>
      </c>
      <c r="T59" s="157">
        <v>124763.41</v>
      </c>
      <c r="U59" s="173">
        <v>50204.35</v>
      </c>
      <c r="V59" s="172">
        <v>1314825.8500000001</v>
      </c>
      <c r="W59" s="157">
        <v>69452.350000000006</v>
      </c>
      <c r="X59" s="157">
        <v>199948.5</v>
      </c>
      <c r="Y59" s="173">
        <v>34214.5</v>
      </c>
      <c r="Z59" s="156">
        <v>1193325.8</v>
      </c>
      <c r="AA59" s="167">
        <v>8748</v>
      </c>
      <c r="AB59" s="157">
        <v>1414.9608234024618</v>
      </c>
      <c r="AC59" s="157">
        <v>38.038393669634033</v>
      </c>
      <c r="AD59" s="157">
        <v>104.60808308605341</v>
      </c>
      <c r="AE59" s="157">
        <v>79.597964696141474</v>
      </c>
      <c r="AF59" s="157">
        <v>66.316114737883296</v>
      </c>
      <c r="AG59" s="157">
        <v>42.515260138476755</v>
      </c>
      <c r="AH59" s="156">
        <v>1746.0366397306507</v>
      </c>
      <c r="AI59" s="157">
        <v>1438.6835034736509</v>
      </c>
      <c r="AJ59" s="157">
        <v>36.153452046235557</v>
      </c>
      <c r="AK59" s="157">
        <v>93.669345517025931</v>
      </c>
      <c r="AL59" s="157">
        <v>81.508442236829978</v>
      </c>
      <c r="AM59" s="157">
        <v>40.946594814120587</v>
      </c>
      <c r="AN59" s="157">
        <v>60.945075757575758</v>
      </c>
      <c r="AO59" s="156">
        <v>1751.9064138454387</v>
      </c>
      <c r="AP59" s="174">
        <v>1426.8221634380564</v>
      </c>
      <c r="AQ59" s="175">
        <v>37.095922857934795</v>
      </c>
      <c r="AR59" s="176">
        <v>99.138714301539665</v>
      </c>
      <c r="AS59" s="176">
        <v>80.553203466485726</v>
      </c>
      <c r="AT59" s="175">
        <v>53.631354776001942</v>
      </c>
      <c r="AU59" s="177">
        <v>51.730167948026256</v>
      </c>
      <c r="AV59" s="156">
        <v>1748.9715267880447</v>
      </c>
      <c r="AW59" s="172">
        <v>2396.5932974794609</v>
      </c>
      <c r="AX59" s="178">
        <v>0.94499999999999995</v>
      </c>
      <c r="AY59" s="179">
        <v>0</v>
      </c>
      <c r="AZ59" s="172">
        <v>1360.6194690265486</v>
      </c>
      <c r="BA59" s="175">
        <v>11984.261870282764</v>
      </c>
      <c r="BB59" s="175">
        <v>7150</v>
      </c>
      <c r="BC59" s="177">
        <v>9.804347826086957</v>
      </c>
      <c r="BD59" s="180"/>
      <c r="BE59" s="168"/>
      <c r="BF59" s="181"/>
    </row>
    <row r="60" spans="1:58" x14ac:dyDescent="0.2">
      <c r="A60" s="112">
        <v>64</v>
      </c>
      <c r="B60" s="166" t="s">
        <v>77</v>
      </c>
      <c r="C60" s="146">
        <v>579100</v>
      </c>
      <c r="D60" s="146">
        <v>0</v>
      </c>
      <c r="E60" s="146">
        <v>0</v>
      </c>
      <c r="F60" s="167">
        <v>0</v>
      </c>
      <c r="G60" s="168"/>
      <c r="H60" s="168"/>
      <c r="I60" s="167">
        <v>0</v>
      </c>
      <c r="J60" s="167">
        <v>0</v>
      </c>
      <c r="K60" s="169">
        <v>0</v>
      </c>
      <c r="L60" s="150">
        <v>1.4</v>
      </c>
      <c r="M60" s="150">
        <v>1.4</v>
      </c>
      <c r="N60" s="167">
        <v>1949</v>
      </c>
      <c r="O60" s="167">
        <v>1946</v>
      </c>
      <c r="P60" s="170">
        <v>353.17579999999998</v>
      </c>
      <c r="Q60" s="171">
        <v>190</v>
      </c>
      <c r="R60" s="125">
        <v>5</v>
      </c>
      <c r="S60" s="172">
        <v>62889.5</v>
      </c>
      <c r="T60" s="157">
        <v>0</v>
      </c>
      <c r="U60" s="173">
        <v>0</v>
      </c>
      <c r="V60" s="172">
        <v>157195.79999999999</v>
      </c>
      <c r="W60" s="157">
        <v>4711.05</v>
      </c>
      <c r="X60" s="157">
        <v>17575.650000000001</v>
      </c>
      <c r="Y60" s="173">
        <v>15597.2</v>
      </c>
      <c r="Z60" s="156">
        <v>214067.84999999998</v>
      </c>
      <c r="AA60" s="167">
        <v>1709</v>
      </c>
      <c r="AB60" s="157">
        <v>1759.7651290841152</v>
      </c>
      <c r="AC60" s="157">
        <v>57.432666324610921</v>
      </c>
      <c r="AD60" s="157">
        <v>61.500102616726522</v>
      </c>
      <c r="AE60" s="157">
        <v>74.511291233616674</v>
      </c>
      <c r="AF60" s="157">
        <v>43.308072515820079</v>
      </c>
      <c r="AG60" s="157">
        <v>18.238994356080038</v>
      </c>
      <c r="AH60" s="156">
        <v>2014.7562561309694</v>
      </c>
      <c r="AI60" s="157">
        <v>1814.9120304274024</v>
      </c>
      <c r="AJ60" s="157">
        <v>63.574700239808159</v>
      </c>
      <c r="AK60" s="157">
        <v>70.131123672490574</v>
      </c>
      <c r="AL60" s="157">
        <v>75.115889313205159</v>
      </c>
      <c r="AM60" s="157">
        <v>38.58994518670778</v>
      </c>
      <c r="AN60" s="157">
        <v>33.120469338814658</v>
      </c>
      <c r="AO60" s="156">
        <v>2095.4441581784286</v>
      </c>
      <c r="AP60" s="174">
        <v>1787.3385797557589</v>
      </c>
      <c r="AQ60" s="175">
        <v>60.503683282209536</v>
      </c>
      <c r="AR60" s="176">
        <v>65.815613144608548</v>
      </c>
      <c r="AS60" s="176">
        <v>74.81359027341091</v>
      </c>
      <c r="AT60" s="175">
        <v>40.949008851263926</v>
      </c>
      <c r="AU60" s="177">
        <v>25.67973184744735</v>
      </c>
      <c r="AV60" s="156">
        <v>2055.1002071546991</v>
      </c>
      <c r="AW60" s="172">
        <v>2396.5932974794609</v>
      </c>
      <c r="AX60" s="178">
        <v>0.94499999999999995</v>
      </c>
      <c r="AY60" s="179">
        <v>0</v>
      </c>
      <c r="AZ60" s="172">
        <v>1360.6194690265486</v>
      </c>
      <c r="BA60" s="175">
        <v>11984.261870282764</v>
      </c>
      <c r="BB60" s="175">
        <v>7150</v>
      </c>
      <c r="BC60" s="177">
        <v>9.804347826086957</v>
      </c>
      <c r="BD60" s="180"/>
      <c r="BE60" s="168"/>
      <c r="BF60" s="181"/>
    </row>
    <row r="61" spans="1:58" x14ac:dyDescent="0.2">
      <c r="A61" s="112">
        <v>65</v>
      </c>
      <c r="B61" s="166" t="s">
        <v>78</v>
      </c>
      <c r="C61" s="146">
        <v>1498400</v>
      </c>
      <c r="D61" s="146">
        <v>773000</v>
      </c>
      <c r="E61" s="146">
        <v>393500</v>
      </c>
      <c r="F61" s="167">
        <v>164300</v>
      </c>
      <c r="G61" s="168"/>
      <c r="H61" s="168"/>
      <c r="I61" s="167">
        <v>0</v>
      </c>
      <c r="J61" s="167">
        <v>0</v>
      </c>
      <c r="K61" s="169">
        <v>0</v>
      </c>
      <c r="L61" s="150">
        <v>1.53</v>
      </c>
      <c r="M61" s="150">
        <v>1.53</v>
      </c>
      <c r="N61" s="167">
        <v>1319</v>
      </c>
      <c r="O61" s="167">
        <v>1303</v>
      </c>
      <c r="P61" s="170">
        <v>893.70439999999996</v>
      </c>
      <c r="Q61" s="171">
        <v>177</v>
      </c>
      <c r="R61" s="125">
        <v>6</v>
      </c>
      <c r="S61" s="172">
        <v>324138.90000000002</v>
      </c>
      <c r="T61" s="157">
        <v>0</v>
      </c>
      <c r="U61" s="173">
        <v>0</v>
      </c>
      <c r="V61" s="172">
        <v>-47306</v>
      </c>
      <c r="W61" s="157">
        <v>0</v>
      </c>
      <c r="X61" s="157">
        <v>22409</v>
      </c>
      <c r="Y61" s="173">
        <v>1316</v>
      </c>
      <c r="Z61" s="156">
        <v>113851.3</v>
      </c>
      <c r="AA61" s="167">
        <v>2284</v>
      </c>
      <c r="AB61" s="157">
        <v>1313.121300396391</v>
      </c>
      <c r="AC61" s="157">
        <v>38.612736921910532</v>
      </c>
      <c r="AD61" s="157">
        <v>44.975562294667675</v>
      </c>
      <c r="AE61" s="157">
        <v>72.656058576719474</v>
      </c>
      <c r="AF61" s="157">
        <v>35.672453879201413</v>
      </c>
      <c r="AG61" s="157">
        <v>22.403032600454893</v>
      </c>
      <c r="AH61" s="156">
        <v>1527.441144669345</v>
      </c>
      <c r="AI61" s="157">
        <v>1303.9176991027737</v>
      </c>
      <c r="AJ61" s="157">
        <v>32.466462010744436</v>
      </c>
      <c r="AK61" s="157">
        <v>45.667459708365314</v>
      </c>
      <c r="AL61" s="157">
        <v>74.770857559793328</v>
      </c>
      <c r="AM61" s="157">
        <v>29.384471731900742</v>
      </c>
      <c r="AN61" s="157">
        <v>25.941340496290611</v>
      </c>
      <c r="AO61" s="156">
        <v>1512.1482906098681</v>
      </c>
      <c r="AP61" s="174">
        <v>1308.5194997495823</v>
      </c>
      <c r="AQ61" s="175">
        <v>35.539599466327488</v>
      </c>
      <c r="AR61" s="176">
        <v>45.321511001516498</v>
      </c>
      <c r="AS61" s="176">
        <v>73.713458068256401</v>
      </c>
      <c r="AT61" s="175">
        <v>32.528462805551079</v>
      </c>
      <c r="AU61" s="177">
        <v>24.17218654837275</v>
      </c>
      <c r="AV61" s="156">
        <v>1519.7947176396065</v>
      </c>
      <c r="AW61" s="172">
        <v>2396.5932974794609</v>
      </c>
      <c r="AX61" s="178">
        <v>0.94499999999999995</v>
      </c>
      <c r="AY61" s="179">
        <v>0</v>
      </c>
      <c r="AZ61" s="172">
        <v>1360.6194690265486</v>
      </c>
      <c r="BA61" s="175">
        <v>11984.261870282764</v>
      </c>
      <c r="BB61" s="175">
        <v>7150</v>
      </c>
      <c r="BC61" s="177">
        <v>9.804347826086957</v>
      </c>
      <c r="BD61" s="180"/>
      <c r="BE61" s="168"/>
      <c r="BF61" s="181"/>
    </row>
    <row r="62" spans="1:58" x14ac:dyDescent="0.2">
      <c r="A62" s="112">
        <v>66</v>
      </c>
      <c r="B62" s="166" t="s">
        <v>79</v>
      </c>
      <c r="C62" s="146">
        <v>5176800</v>
      </c>
      <c r="D62" s="146">
        <v>2665300</v>
      </c>
      <c r="E62" s="146">
        <v>608500</v>
      </c>
      <c r="F62" s="167">
        <v>184800</v>
      </c>
      <c r="G62" s="168"/>
      <c r="H62" s="168"/>
      <c r="I62" s="167">
        <v>0</v>
      </c>
      <c r="J62" s="167">
        <v>0</v>
      </c>
      <c r="K62" s="169">
        <v>0</v>
      </c>
      <c r="L62" s="150">
        <v>1.45</v>
      </c>
      <c r="M62" s="150">
        <v>1.45</v>
      </c>
      <c r="N62" s="167">
        <v>4036</v>
      </c>
      <c r="O62" s="167">
        <v>4000</v>
      </c>
      <c r="P62" s="170">
        <v>2958.2659999999996</v>
      </c>
      <c r="Q62" s="171">
        <v>493</v>
      </c>
      <c r="R62" s="125">
        <v>19</v>
      </c>
      <c r="S62" s="172">
        <v>20608</v>
      </c>
      <c r="T62" s="157">
        <v>179150.15</v>
      </c>
      <c r="U62" s="173">
        <v>54225.1</v>
      </c>
      <c r="V62" s="172">
        <v>719057.85</v>
      </c>
      <c r="W62" s="157">
        <v>35215.4</v>
      </c>
      <c r="X62" s="157">
        <v>168613.5</v>
      </c>
      <c r="Y62" s="173">
        <v>29526.15</v>
      </c>
      <c r="Z62" s="156">
        <v>452505.75</v>
      </c>
      <c r="AA62" s="167">
        <v>1941</v>
      </c>
      <c r="AB62" s="157">
        <v>1156.0703187761601</v>
      </c>
      <c r="AC62" s="157">
        <v>22.173538156590688</v>
      </c>
      <c r="AD62" s="157">
        <v>28.173488602576811</v>
      </c>
      <c r="AE62" s="157">
        <v>71.630677034213903</v>
      </c>
      <c r="AF62" s="157">
        <v>36.676701354476378</v>
      </c>
      <c r="AG62" s="157">
        <v>23.767046580773044</v>
      </c>
      <c r="AH62" s="156">
        <v>1338.4917705047908</v>
      </c>
      <c r="AI62" s="157">
        <v>1247.3277499999999</v>
      </c>
      <c r="AJ62" s="157">
        <v>23.270166666666668</v>
      </c>
      <c r="AK62" s="157">
        <v>32.411000000000001</v>
      </c>
      <c r="AL62" s="157">
        <v>75.330523538353319</v>
      </c>
      <c r="AM62" s="157">
        <v>30.975424999999998</v>
      </c>
      <c r="AN62" s="157">
        <v>22.883500000000002</v>
      </c>
      <c r="AO62" s="156">
        <v>1432.1983652050201</v>
      </c>
      <c r="AP62" s="174">
        <v>1201.69903438808</v>
      </c>
      <c r="AQ62" s="175">
        <v>22.721852411628678</v>
      </c>
      <c r="AR62" s="176">
        <v>30.292244301288406</v>
      </c>
      <c r="AS62" s="176">
        <v>73.480600286283618</v>
      </c>
      <c r="AT62" s="175">
        <v>33.82606317723819</v>
      </c>
      <c r="AU62" s="177">
        <v>23.325273290386523</v>
      </c>
      <c r="AV62" s="156">
        <v>1385.3450678549054</v>
      </c>
      <c r="AW62" s="172">
        <v>2396.5932974794609</v>
      </c>
      <c r="AX62" s="178">
        <v>0.94499999999999995</v>
      </c>
      <c r="AY62" s="179">
        <v>0</v>
      </c>
      <c r="AZ62" s="172">
        <v>1360.6194690265486</v>
      </c>
      <c r="BA62" s="175">
        <v>11984.261870282764</v>
      </c>
      <c r="BB62" s="175">
        <v>7150</v>
      </c>
      <c r="BC62" s="177">
        <v>9.804347826086957</v>
      </c>
      <c r="BD62" s="180"/>
      <c r="BE62" s="168"/>
      <c r="BF62" s="181"/>
    </row>
    <row r="63" spans="1:58" x14ac:dyDescent="0.2">
      <c r="A63" s="112">
        <v>67</v>
      </c>
      <c r="B63" s="166" t="s">
        <v>80</v>
      </c>
      <c r="C63" s="146">
        <v>1197000</v>
      </c>
      <c r="D63" s="146">
        <v>1435400</v>
      </c>
      <c r="E63" s="146">
        <v>128100</v>
      </c>
      <c r="F63" s="167">
        <v>0</v>
      </c>
      <c r="G63" s="168"/>
      <c r="H63" s="168"/>
      <c r="I63" s="167">
        <v>0</v>
      </c>
      <c r="J63" s="167">
        <v>55700</v>
      </c>
      <c r="K63" s="169">
        <v>0</v>
      </c>
      <c r="L63" s="150">
        <v>1.48</v>
      </c>
      <c r="M63" s="150">
        <v>1.48</v>
      </c>
      <c r="N63" s="167">
        <v>924</v>
      </c>
      <c r="O63" s="167">
        <v>907</v>
      </c>
      <c r="P63" s="170">
        <v>1281.5839999999996</v>
      </c>
      <c r="Q63" s="171">
        <v>112</v>
      </c>
      <c r="R63" s="125">
        <v>2</v>
      </c>
      <c r="S63" s="172">
        <v>0</v>
      </c>
      <c r="T63" s="157">
        <v>972</v>
      </c>
      <c r="U63" s="173">
        <v>4606.7</v>
      </c>
      <c r="V63" s="172">
        <v>-22694</v>
      </c>
      <c r="W63" s="157">
        <v>0</v>
      </c>
      <c r="X63" s="157">
        <v>10990</v>
      </c>
      <c r="Y63" s="173">
        <v>0</v>
      </c>
      <c r="Z63" s="156">
        <v>54346.15</v>
      </c>
      <c r="AA63" s="167">
        <v>490</v>
      </c>
      <c r="AB63" s="157">
        <v>1170.4954243763937</v>
      </c>
      <c r="AC63" s="157">
        <v>14.240331890331889</v>
      </c>
      <c r="AD63" s="157">
        <v>28.665656565656569</v>
      </c>
      <c r="AE63" s="157">
        <v>85.63178007891652</v>
      </c>
      <c r="AF63" s="157">
        <v>29.331746031746036</v>
      </c>
      <c r="AG63" s="157">
        <v>30.688311688311689</v>
      </c>
      <c r="AH63" s="156">
        <v>1359.0532506313561</v>
      </c>
      <c r="AI63" s="157">
        <v>1271.361631753032</v>
      </c>
      <c r="AJ63" s="157">
        <v>9.4869533259830945</v>
      </c>
      <c r="AK63" s="157">
        <v>14.82175670709298</v>
      </c>
      <c r="AL63" s="157">
        <v>89.581189105991896</v>
      </c>
      <c r="AM63" s="157">
        <v>26.002609334803385</v>
      </c>
      <c r="AN63" s="157">
        <v>12.652701212789415</v>
      </c>
      <c r="AO63" s="156">
        <v>1423.9068414396927</v>
      </c>
      <c r="AP63" s="174">
        <v>1220.9285280647127</v>
      </c>
      <c r="AQ63" s="175">
        <v>11.863642608157491</v>
      </c>
      <c r="AR63" s="176">
        <v>21.743706636374775</v>
      </c>
      <c r="AS63" s="176">
        <v>87.606484592454208</v>
      </c>
      <c r="AT63" s="175">
        <v>27.667177683274708</v>
      </c>
      <c r="AU63" s="177">
        <v>21.670506450550551</v>
      </c>
      <c r="AV63" s="156">
        <v>1391.4800460355248</v>
      </c>
      <c r="AW63" s="172">
        <v>2396.5932974794609</v>
      </c>
      <c r="AX63" s="178">
        <v>0.94499999999999995</v>
      </c>
      <c r="AY63" s="179">
        <v>0</v>
      </c>
      <c r="AZ63" s="172">
        <v>1360.6194690265486</v>
      </c>
      <c r="BA63" s="175">
        <v>11984.261870282764</v>
      </c>
      <c r="BB63" s="175">
        <v>7150</v>
      </c>
      <c r="BC63" s="177">
        <v>9.804347826086957</v>
      </c>
      <c r="BD63" s="180"/>
      <c r="BE63" s="168"/>
      <c r="BF63" s="181"/>
    </row>
    <row r="64" spans="1:58" x14ac:dyDescent="0.2">
      <c r="A64" s="112">
        <v>70</v>
      </c>
      <c r="B64" s="166" t="s">
        <v>81</v>
      </c>
      <c r="C64" s="146">
        <v>2620500</v>
      </c>
      <c r="D64" s="146">
        <v>1219400</v>
      </c>
      <c r="E64" s="146">
        <v>649600</v>
      </c>
      <c r="F64" s="167">
        <v>144400</v>
      </c>
      <c r="G64" s="168"/>
      <c r="H64" s="168"/>
      <c r="I64" s="167">
        <v>0</v>
      </c>
      <c r="J64" s="167">
        <v>0</v>
      </c>
      <c r="K64" s="169">
        <v>0</v>
      </c>
      <c r="L64" s="150">
        <v>1.4</v>
      </c>
      <c r="M64" s="150">
        <v>1.4</v>
      </c>
      <c r="N64" s="167">
        <v>4541</v>
      </c>
      <c r="O64" s="167">
        <v>4603</v>
      </c>
      <c r="P64" s="170">
        <v>2046.2990000000002</v>
      </c>
      <c r="Q64" s="171">
        <v>566</v>
      </c>
      <c r="R64" s="125">
        <v>17</v>
      </c>
      <c r="S64" s="172">
        <v>201234.45</v>
      </c>
      <c r="T64" s="157">
        <v>0</v>
      </c>
      <c r="U64" s="173">
        <v>16890.05</v>
      </c>
      <c r="V64" s="172">
        <v>245817.7</v>
      </c>
      <c r="W64" s="157">
        <v>0</v>
      </c>
      <c r="X64" s="157">
        <v>58066</v>
      </c>
      <c r="Y64" s="173">
        <v>4835</v>
      </c>
      <c r="Z64" s="156">
        <v>767998.25</v>
      </c>
      <c r="AA64" s="167">
        <v>2732</v>
      </c>
      <c r="AB64" s="157">
        <v>1491.9269595676139</v>
      </c>
      <c r="AC64" s="157">
        <v>24.309190339866397</v>
      </c>
      <c r="AD64" s="157">
        <v>95.624627468252214</v>
      </c>
      <c r="AE64" s="157">
        <v>74.697757058863871</v>
      </c>
      <c r="AF64" s="157">
        <v>38.214783821478385</v>
      </c>
      <c r="AG64" s="157">
        <v>57.015282977317767</v>
      </c>
      <c r="AH64" s="156">
        <v>1781.7886012333925</v>
      </c>
      <c r="AI64" s="157">
        <v>1608.8762788085082</v>
      </c>
      <c r="AJ64" s="157">
        <v>29.671880657542182</v>
      </c>
      <c r="AK64" s="157">
        <v>109.44268230863929</v>
      </c>
      <c r="AL64" s="157">
        <v>78.977108525193586</v>
      </c>
      <c r="AM64" s="157">
        <v>51.198978926786879</v>
      </c>
      <c r="AN64" s="157">
        <v>55.112231153595481</v>
      </c>
      <c r="AO64" s="156">
        <v>1933.2791603802657</v>
      </c>
      <c r="AP64" s="174">
        <v>1550.401619188061</v>
      </c>
      <c r="AQ64" s="175">
        <v>26.99053549870429</v>
      </c>
      <c r="AR64" s="176">
        <v>102.53365488844575</v>
      </c>
      <c r="AS64" s="176">
        <v>76.837432792028721</v>
      </c>
      <c r="AT64" s="175">
        <v>44.706881374132635</v>
      </c>
      <c r="AU64" s="177">
        <v>56.063757065456628</v>
      </c>
      <c r="AV64" s="156">
        <v>1857.5338808068288</v>
      </c>
      <c r="AW64" s="172">
        <v>2396.5932974794609</v>
      </c>
      <c r="AX64" s="178">
        <v>0.94499999999999995</v>
      </c>
      <c r="AY64" s="179">
        <v>0</v>
      </c>
      <c r="AZ64" s="172">
        <v>1360.6194690265486</v>
      </c>
      <c r="BA64" s="175">
        <v>11984.261870282764</v>
      </c>
      <c r="BB64" s="175">
        <v>7150</v>
      </c>
      <c r="BC64" s="177">
        <v>9.804347826086957</v>
      </c>
      <c r="BD64" s="180"/>
      <c r="BE64" s="168"/>
      <c r="BF64" s="181"/>
    </row>
    <row r="65" spans="1:58" x14ac:dyDescent="0.2">
      <c r="A65" s="112">
        <v>71</v>
      </c>
      <c r="B65" s="166" t="s">
        <v>82</v>
      </c>
      <c r="C65" s="146">
        <v>1049500</v>
      </c>
      <c r="D65" s="146">
        <v>763700</v>
      </c>
      <c r="E65" s="146">
        <v>362700</v>
      </c>
      <c r="F65" s="167">
        <v>19100</v>
      </c>
      <c r="G65" s="168"/>
      <c r="H65" s="168"/>
      <c r="I65" s="167">
        <v>0</v>
      </c>
      <c r="J65" s="167">
        <v>0</v>
      </c>
      <c r="K65" s="169">
        <v>0</v>
      </c>
      <c r="L65" s="150">
        <v>1.39</v>
      </c>
      <c r="M65" s="150">
        <v>1.45</v>
      </c>
      <c r="N65" s="167">
        <v>1443</v>
      </c>
      <c r="O65" s="167">
        <v>1439</v>
      </c>
      <c r="P65" s="170">
        <v>920.82500000000016</v>
      </c>
      <c r="Q65" s="171">
        <v>191</v>
      </c>
      <c r="R65" s="125">
        <v>2</v>
      </c>
      <c r="S65" s="172">
        <v>0</v>
      </c>
      <c r="T65" s="157">
        <v>62934</v>
      </c>
      <c r="U65" s="173">
        <v>20315</v>
      </c>
      <c r="V65" s="172">
        <v>154379</v>
      </c>
      <c r="W65" s="157">
        <v>0</v>
      </c>
      <c r="X65" s="157">
        <v>6209</v>
      </c>
      <c r="Y65" s="173">
        <v>0</v>
      </c>
      <c r="Z65" s="156">
        <v>131667.29999999999</v>
      </c>
      <c r="AA65" s="167">
        <v>947</v>
      </c>
      <c r="AB65" s="157">
        <v>1366.2959529167308</v>
      </c>
      <c r="AC65" s="157">
        <v>64.988704088704111</v>
      </c>
      <c r="AD65" s="157">
        <v>134.97401247401248</v>
      </c>
      <c r="AE65" s="157">
        <v>78.186643851457845</v>
      </c>
      <c r="AF65" s="157">
        <v>65.751189651189662</v>
      </c>
      <c r="AG65" s="157">
        <v>34.825017325017328</v>
      </c>
      <c r="AH65" s="156">
        <v>1745.021520307112</v>
      </c>
      <c r="AI65" s="157">
        <v>1397.2052617062493</v>
      </c>
      <c r="AJ65" s="157">
        <v>58.217373175816533</v>
      </c>
      <c r="AK65" s="157">
        <v>78.823349548297415</v>
      </c>
      <c r="AL65" s="157">
        <v>82.504412240822049</v>
      </c>
      <c r="AM65" s="157">
        <v>67.872504053741025</v>
      </c>
      <c r="AN65" s="157">
        <v>85.25313875376419</v>
      </c>
      <c r="AO65" s="156">
        <v>1769.8760394786905</v>
      </c>
      <c r="AP65" s="174">
        <v>1381.7506073114901</v>
      </c>
      <c r="AQ65" s="175">
        <v>61.603038632260322</v>
      </c>
      <c r="AR65" s="176">
        <v>106.89868101115495</v>
      </c>
      <c r="AS65" s="176">
        <v>80.345528046139947</v>
      </c>
      <c r="AT65" s="175">
        <v>66.811846852465351</v>
      </c>
      <c r="AU65" s="177">
        <v>60.039078039390759</v>
      </c>
      <c r="AV65" s="156">
        <v>1757.448779892901</v>
      </c>
      <c r="AW65" s="172">
        <v>2396.5932974794609</v>
      </c>
      <c r="AX65" s="178">
        <v>0.94499999999999995</v>
      </c>
      <c r="AY65" s="179">
        <v>0</v>
      </c>
      <c r="AZ65" s="172">
        <v>1360.6194690265486</v>
      </c>
      <c r="BA65" s="175">
        <v>11984.261870282764</v>
      </c>
      <c r="BB65" s="175">
        <v>7150</v>
      </c>
      <c r="BC65" s="177">
        <v>9.804347826086957</v>
      </c>
      <c r="BD65" s="180"/>
      <c r="BE65" s="168"/>
      <c r="BF65" s="181"/>
    </row>
    <row r="66" spans="1:58" x14ac:dyDescent="0.2">
      <c r="A66" s="112">
        <v>72</v>
      </c>
      <c r="B66" s="166" t="s">
        <v>83</v>
      </c>
      <c r="C66" s="146">
        <v>3529200</v>
      </c>
      <c r="D66" s="146">
        <v>2151600</v>
      </c>
      <c r="E66" s="146">
        <v>1357000</v>
      </c>
      <c r="F66" s="167">
        <v>20600</v>
      </c>
      <c r="G66" s="168"/>
      <c r="H66" s="168"/>
      <c r="I66" s="167">
        <v>0</v>
      </c>
      <c r="J66" s="167">
        <v>119200</v>
      </c>
      <c r="K66" s="169">
        <v>0</v>
      </c>
      <c r="L66" s="150">
        <v>1.45</v>
      </c>
      <c r="M66" s="150">
        <v>1.45</v>
      </c>
      <c r="N66" s="167">
        <v>2829</v>
      </c>
      <c r="O66" s="167">
        <v>2827</v>
      </c>
      <c r="P66" s="170">
        <v>2287.6649999999995</v>
      </c>
      <c r="Q66" s="171">
        <v>429</v>
      </c>
      <c r="R66" s="125">
        <v>5</v>
      </c>
      <c r="S66" s="172">
        <v>71503.5</v>
      </c>
      <c r="T66" s="157">
        <v>5274.45</v>
      </c>
      <c r="U66" s="173">
        <v>55892.15</v>
      </c>
      <c r="V66" s="172">
        <v>425536.7</v>
      </c>
      <c r="W66" s="157">
        <v>10597</v>
      </c>
      <c r="X66" s="157">
        <v>54412.65</v>
      </c>
      <c r="Y66" s="173">
        <v>0</v>
      </c>
      <c r="Z66" s="156">
        <v>325681.34999999998</v>
      </c>
      <c r="AA66" s="167">
        <v>1346</v>
      </c>
      <c r="AB66" s="157">
        <v>1205.7275796245958</v>
      </c>
      <c r="AC66" s="157">
        <v>12.353434664781432</v>
      </c>
      <c r="AD66" s="157">
        <v>29.167939201131137</v>
      </c>
      <c r="AE66" s="157">
        <v>66.403164145948807</v>
      </c>
      <c r="AF66" s="157">
        <v>17.707753034052082</v>
      </c>
      <c r="AG66" s="157">
        <v>1.105266878755744</v>
      </c>
      <c r="AH66" s="156">
        <v>1332.4651375492649</v>
      </c>
      <c r="AI66" s="157">
        <v>1305.1114778101958</v>
      </c>
      <c r="AJ66" s="157">
        <v>19.119408088668788</v>
      </c>
      <c r="AK66" s="157">
        <v>31.384872066973237</v>
      </c>
      <c r="AL66" s="157">
        <v>68.340319060947863</v>
      </c>
      <c r="AM66" s="157">
        <v>20.940278269072042</v>
      </c>
      <c r="AN66" s="157">
        <v>41.510753448885751</v>
      </c>
      <c r="AO66" s="156">
        <v>1486.4071087447433</v>
      </c>
      <c r="AP66" s="174">
        <v>1255.4195287173957</v>
      </c>
      <c r="AQ66" s="175">
        <v>15.73642137672511</v>
      </c>
      <c r="AR66" s="176">
        <v>30.276405634052189</v>
      </c>
      <c r="AS66" s="176">
        <v>67.371741603448328</v>
      </c>
      <c r="AT66" s="175">
        <v>19.324015651562064</v>
      </c>
      <c r="AU66" s="177">
        <v>21.308010163820747</v>
      </c>
      <c r="AV66" s="156">
        <v>1409.4361231470041</v>
      </c>
      <c r="AW66" s="172">
        <v>2396.5932974794609</v>
      </c>
      <c r="AX66" s="178">
        <v>0.94499999999999995</v>
      </c>
      <c r="AY66" s="179">
        <v>0</v>
      </c>
      <c r="AZ66" s="172">
        <v>1360.6194690265486</v>
      </c>
      <c r="BA66" s="175">
        <v>11984.261870282764</v>
      </c>
      <c r="BB66" s="175">
        <v>7150</v>
      </c>
      <c r="BC66" s="177">
        <v>9.804347826086957</v>
      </c>
      <c r="BD66" s="180"/>
      <c r="BE66" s="168"/>
      <c r="BF66" s="181"/>
    </row>
    <row r="67" spans="1:58" x14ac:dyDescent="0.2">
      <c r="A67" s="112">
        <v>73</v>
      </c>
      <c r="B67" s="166" t="s">
        <v>84</v>
      </c>
      <c r="C67" s="146">
        <v>4358600</v>
      </c>
      <c r="D67" s="146">
        <v>2457100</v>
      </c>
      <c r="E67" s="146">
        <v>1769200</v>
      </c>
      <c r="F67" s="167">
        <v>253000</v>
      </c>
      <c r="G67" s="168"/>
      <c r="H67" s="168"/>
      <c r="I67" s="167">
        <v>0</v>
      </c>
      <c r="J67" s="167">
        <v>0</v>
      </c>
      <c r="K67" s="169">
        <v>0</v>
      </c>
      <c r="L67" s="150">
        <v>1.45</v>
      </c>
      <c r="M67" s="150">
        <v>1.45</v>
      </c>
      <c r="N67" s="167">
        <v>8522</v>
      </c>
      <c r="O67" s="167">
        <v>8721</v>
      </c>
      <c r="P67" s="170">
        <v>3984.7731999999996</v>
      </c>
      <c r="Q67" s="171">
        <v>1121</v>
      </c>
      <c r="R67" s="125">
        <v>26</v>
      </c>
      <c r="S67" s="172">
        <v>68040.55</v>
      </c>
      <c r="T67" s="157">
        <v>6793.85</v>
      </c>
      <c r="U67" s="173">
        <v>94461.4</v>
      </c>
      <c r="V67" s="172">
        <v>1673328.45</v>
      </c>
      <c r="W67" s="157">
        <v>28094.6</v>
      </c>
      <c r="X67" s="157">
        <v>193183.2</v>
      </c>
      <c r="Y67" s="173">
        <v>35917.75</v>
      </c>
      <c r="Z67" s="156">
        <v>1210537.6499999999</v>
      </c>
      <c r="AA67" s="167">
        <v>6320</v>
      </c>
      <c r="AB67" s="157">
        <v>1404.3231200200844</v>
      </c>
      <c r="AC67" s="157">
        <v>81.057443479621398</v>
      </c>
      <c r="AD67" s="157">
        <v>148.4535750606274</v>
      </c>
      <c r="AE67" s="157">
        <v>94.810722572037108</v>
      </c>
      <c r="AF67" s="157">
        <v>54.142912461863411</v>
      </c>
      <c r="AG67" s="157">
        <v>50.116091684268163</v>
      </c>
      <c r="AH67" s="156">
        <v>1832.9038652785021</v>
      </c>
      <c r="AI67" s="157">
        <v>1468.6574528674976</v>
      </c>
      <c r="AJ67" s="157">
        <v>66.471234185682079</v>
      </c>
      <c r="AK67" s="157">
        <v>148.75881970722014</v>
      </c>
      <c r="AL67" s="157">
        <v>95.357992909561361</v>
      </c>
      <c r="AM67" s="157">
        <v>103.90189962924741</v>
      </c>
      <c r="AN67" s="157">
        <v>112.16710239651415</v>
      </c>
      <c r="AO67" s="156">
        <v>1995.3145016957228</v>
      </c>
      <c r="AP67" s="174">
        <v>1436.4902864437909</v>
      </c>
      <c r="AQ67" s="175">
        <v>73.764338832651731</v>
      </c>
      <c r="AR67" s="176">
        <v>148.60619738392376</v>
      </c>
      <c r="AS67" s="176">
        <v>95.084357740799234</v>
      </c>
      <c r="AT67" s="175">
        <v>79.022406045555414</v>
      </c>
      <c r="AU67" s="177">
        <v>81.141597040391161</v>
      </c>
      <c r="AV67" s="156">
        <v>1914.1091834871122</v>
      </c>
      <c r="AW67" s="172">
        <v>2396.5932974794609</v>
      </c>
      <c r="AX67" s="178">
        <v>0.94499999999999995</v>
      </c>
      <c r="AY67" s="179">
        <v>0</v>
      </c>
      <c r="AZ67" s="172">
        <v>1360.6194690265486</v>
      </c>
      <c r="BA67" s="175">
        <v>11984.261870282764</v>
      </c>
      <c r="BB67" s="175">
        <v>7150</v>
      </c>
      <c r="BC67" s="177">
        <v>9.804347826086957</v>
      </c>
      <c r="BD67" s="180"/>
      <c r="BE67" s="168"/>
      <c r="BF67" s="181"/>
    </row>
    <row r="68" spans="1:58" x14ac:dyDescent="0.2">
      <c r="A68" s="112">
        <v>76</v>
      </c>
      <c r="B68" s="166" t="s">
        <v>85</v>
      </c>
      <c r="C68" s="146">
        <v>0</v>
      </c>
      <c r="D68" s="146">
        <v>77800</v>
      </c>
      <c r="E68" s="146">
        <v>1363300</v>
      </c>
      <c r="F68" s="167">
        <v>0</v>
      </c>
      <c r="G68" s="168"/>
      <c r="H68" s="168"/>
      <c r="I68" s="167">
        <v>0</v>
      </c>
      <c r="J68" s="167">
        <v>0</v>
      </c>
      <c r="K68" s="169">
        <v>0</v>
      </c>
      <c r="L68" s="150">
        <v>1.45</v>
      </c>
      <c r="M68" s="150">
        <v>1.45</v>
      </c>
      <c r="N68" s="167">
        <v>3736</v>
      </c>
      <c r="O68" s="167">
        <v>3762</v>
      </c>
      <c r="P68" s="170">
        <v>999.16499999999996</v>
      </c>
      <c r="Q68" s="171">
        <v>538</v>
      </c>
      <c r="R68" s="125">
        <v>8</v>
      </c>
      <c r="S68" s="172">
        <v>0</v>
      </c>
      <c r="T68" s="157">
        <v>49500</v>
      </c>
      <c r="U68" s="173">
        <v>0</v>
      </c>
      <c r="V68" s="172">
        <v>-52213.05</v>
      </c>
      <c r="W68" s="157">
        <v>0</v>
      </c>
      <c r="X68" s="157">
        <v>69193.5</v>
      </c>
      <c r="Y68" s="173">
        <v>1662.8</v>
      </c>
      <c r="Z68" s="156">
        <v>324001.84999999998</v>
      </c>
      <c r="AA68" s="167">
        <v>1844</v>
      </c>
      <c r="AB68" s="157">
        <v>1807.2939946347806</v>
      </c>
      <c r="AC68" s="157">
        <v>43.229193433261955</v>
      </c>
      <c r="AD68" s="157">
        <v>165.23141506067094</v>
      </c>
      <c r="AE68" s="157">
        <v>110.71000075231993</v>
      </c>
      <c r="AF68" s="157">
        <v>63.763195931477519</v>
      </c>
      <c r="AG68" s="157">
        <v>218.81088508208424</v>
      </c>
      <c r="AH68" s="156">
        <v>2409.038684894595</v>
      </c>
      <c r="AI68" s="157">
        <v>1726.9328754817609</v>
      </c>
      <c r="AJ68" s="157">
        <v>46.28380294169768</v>
      </c>
      <c r="AK68" s="157">
        <v>178.10031897926635</v>
      </c>
      <c r="AL68" s="157">
        <v>116.92859788527205</v>
      </c>
      <c r="AM68" s="157">
        <v>65.519599503810028</v>
      </c>
      <c r="AN68" s="157">
        <v>64.485025695552011</v>
      </c>
      <c r="AO68" s="156">
        <v>2198.2502204873595</v>
      </c>
      <c r="AP68" s="174">
        <v>1767.1134350582706</v>
      </c>
      <c r="AQ68" s="175">
        <v>44.756498187479821</v>
      </c>
      <c r="AR68" s="176">
        <v>171.66586701996863</v>
      </c>
      <c r="AS68" s="176">
        <v>113.819299318796</v>
      </c>
      <c r="AT68" s="175">
        <v>64.64139771764377</v>
      </c>
      <c r="AU68" s="177">
        <v>141.64795538881813</v>
      </c>
      <c r="AV68" s="156">
        <v>2303.6444526909768</v>
      </c>
      <c r="AW68" s="172">
        <v>2396.5932974794609</v>
      </c>
      <c r="AX68" s="178">
        <v>0.94499999999999995</v>
      </c>
      <c r="AY68" s="179">
        <v>-3.4320132765439118E-2</v>
      </c>
      <c r="AZ68" s="172">
        <v>1360.6194690265486</v>
      </c>
      <c r="BA68" s="175">
        <v>11984.261870282764</v>
      </c>
      <c r="BB68" s="175">
        <v>7150</v>
      </c>
      <c r="BC68" s="177">
        <v>9.804347826086957</v>
      </c>
      <c r="BD68" s="180"/>
      <c r="BE68" s="168"/>
      <c r="BF68" s="181"/>
    </row>
    <row r="69" spans="1:58" x14ac:dyDescent="0.2">
      <c r="A69" s="112">
        <v>77</v>
      </c>
      <c r="B69" s="166" t="s">
        <v>86</v>
      </c>
      <c r="C69" s="146">
        <v>1080700</v>
      </c>
      <c r="D69" s="146">
        <v>0</v>
      </c>
      <c r="E69" s="146">
        <v>1041700</v>
      </c>
      <c r="F69" s="167">
        <v>49200</v>
      </c>
      <c r="G69" s="168"/>
      <c r="H69" s="168"/>
      <c r="I69" s="167">
        <v>0</v>
      </c>
      <c r="J69" s="167">
        <v>0</v>
      </c>
      <c r="K69" s="169">
        <v>0</v>
      </c>
      <c r="L69" s="150">
        <v>1.35</v>
      </c>
      <c r="M69" s="150">
        <v>1.35</v>
      </c>
      <c r="N69" s="167">
        <v>6193</v>
      </c>
      <c r="O69" s="167">
        <v>6265</v>
      </c>
      <c r="P69" s="170">
        <v>1268.3006</v>
      </c>
      <c r="Q69" s="171">
        <v>783</v>
      </c>
      <c r="R69" s="125">
        <v>24</v>
      </c>
      <c r="S69" s="172">
        <v>194800.5</v>
      </c>
      <c r="T69" s="157">
        <v>28212.9</v>
      </c>
      <c r="U69" s="173">
        <v>24443.599999999999</v>
      </c>
      <c r="V69" s="172">
        <v>713906.3</v>
      </c>
      <c r="W69" s="157">
        <v>-558.04999999999995</v>
      </c>
      <c r="X69" s="157">
        <v>95368.27</v>
      </c>
      <c r="Y69" s="173">
        <v>20540.95</v>
      </c>
      <c r="Z69" s="156">
        <v>826964.5</v>
      </c>
      <c r="AA69" s="167">
        <v>3879</v>
      </c>
      <c r="AB69" s="157">
        <v>1802.3167241383949</v>
      </c>
      <c r="AC69" s="157">
        <v>39.505339361644872</v>
      </c>
      <c r="AD69" s="157">
        <v>126.16012702513591</v>
      </c>
      <c r="AE69" s="157">
        <v>81.717799089901334</v>
      </c>
      <c r="AF69" s="157">
        <v>55.171021045266166</v>
      </c>
      <c r="AG69" s="157">
        <v>84.118009580709398</v>
      </c>
      <c r="AH69" s="156">
        <v>2188.9890202410525</v>
      </c>
      <c r="AI69" s="157">
        <v>1754.0905011512089</v>
      </c>
      <c r="AJ69" s="157">
        <v>51.828933226922061</v>
      </c>
      <c r="AK69" s="157">
        <v>72.507182761372704</v>
      </c>
      <c r="AL69" s="157">
        <v>84.185250879158076</v>
      </c>
      <c r="AM69" s="157">
        <v>62.927470071827621</v>
      </c>
      <c r="AN69" s="157">
        <v>61.313450385740886</v>
      </c>
      <c r="AO69" s="156">
        <v>2086.8527884762302</v>
      </c>
      <c r="AP69" s="174">
        <v>1778.203612644802</v>
      </c>
      <c r="AQ69" s="175">
        <v>45.667136294283466</v>
      </c>
      <c r="AR69" s="176">
        <v>99.333654893254305</v>
      </c>
      <c r="AS69" s="176">
        <v>82.951524984529698</v>
      </c>
      <c r="AT69" s="175">
        <v>59.049245558546893</v>
      </c>
      <c r="AU69" s="177">
        <v>72.715729983225145</v>
      </c>
      <c r="AV69" s="156">
        <v>2137.9209043586416</v>
      </c>
      <c r="AW69" s="172">
        <v>2396.5932974794609</v>
      </c>
      <c r="AX69" s="178">
        <v>0.94499999999999995</v>
      </c>
      <c r="AY69" s="179">
        <v>0</v>
      </c>
      <c r="AZ69" s="172">
        <v>1360.6194690265486</v>
      </c>
      <c r="BA69" s="175">
        <v>11984.261870282764</v>
      </c>
      <c r="BB69" s="175">
        <v>7150</v>
      </c>
      <c r="BC69" s="177">
        <v>9.804347826086957</v>
      </c>
      <c r="BD69" s="180"/>
      <c r="BE69" s="168"/>
      <c r="BF69" s="181"/>
    </row>
    <row r="70" spans="1:58" x14ac:dyDescent="0.2">
      <c r="A70" s="112">
        <v>78</v>
      </c>
      <c r="B70" s="166" t="s">
        <v>87</v>
      </c>
      <c r="C70" s="146">
        <v>3160600</v>
      </c>
      <c r="D70" s="146">
        <v>0</v>
      </c>
      <c r="E70" s="146">
        <v>1425100</v>
      </c>
      <c r="F70" s="167">
        <v>563800</v>
      </c>
      <c r="G70" s="168"/>
      <c r="H70" s="168"/>
      <c r="I70" s="167">
        <v>0</v>
      </c>
      <c r="J70" s="167">
        <v>0</v>
      </c>
      <c r="K70" s="169">
        <v>0</v>
      </c>
      <c r="L70" s="150">
        <v>1.45</v>
      </c>
      <c r="M70" s="150">
        <v>1.45</v>
      </c>
      <c r="N70" s="167">
        <v>12698</v>
      </c>
      <c r="O70" s="167">
        <v>12695</v>
      </c>
      <c r="P70" s="170">
        <v>2378.0929999999998</v>
      </c>
      <c r="Q70" s="171">
        <v>1525</v>
      </c>
      <c r="R70" s="125">
        <v>56</v>
      </c>
      <c r="S70" s="172">
        <v>536398.85</v>
      </c>
      <c r="T70" s="157">
        <v>103003.8</v>
      </c>
      <c r="U70" s="173">
        <v>41636.199999999997</v>
      </c>
      <c r="V70" s="172">
        <v>2425907.89</v>
      </c>
      <c r="W70" s="157">
        <v>27303.15</v>
      </c>
      <c r="X70" s="157">
        <v>200561.15</v>
      </c>
      <c r="Y70" s="173">
        <v>452680.8</v>
      </c>
      <c r="Z70" s="156">
        <v>1161403.3999999999</v>
      </c>
      <c r="AA70" s="167">
        <v>10207</v>
      </c>
      <c r="AB70" s="157">
        <v>1745.7990196906799</v>
      </c>
      <c r="AC70" s="157">
        <v>63.346051871685823</v>
      </c>
      <c r="AD70" s="157">
        <v>147.78812673911901</v>
      </c>
      <c r="AE70" s="157">
        <v>86.841736708843655</v>
      </c>
      <c r="AF70" s="157">
        <v>40.47468892739014</v>
      </c>
      <c r="AG70" s="157">
        <v>35.079996849897618</v>
      </c>
      <c r="AH70" s="156">
        <v>2119.329620787616</v>
      </c>
      <c r="AI70" s="157">
        <v>1717.6948488151043</v>
      </c>
      <c r="AJ70" s="157">
        <v>61.182258106866222</v>
      </c>
      <c r="AK70" s="157">
        <v>122.66712353945121</v>
      </c>
      <c r="AL70" s="157">
        <v>89.474615946648854</v>
      </c>
      <c r="AM70" s="157">
        <v>34.528394380989887</v>
      </c>
      <c r="AN70" s="157">
        <v>43.369557568596562</v>
      </c>
      <c r="AO70" s="156">
        <v>2068.9167983576572</v>
      </c>
      <c r="AP70" s="174">
        <v>1731.7469342528921</v>
      </c>
      <c r="AQ70" s="175">
        <v>62.264154989276022</v>
      </c>
      <c r="AR70" s="176">
        <v>135.22762513928512</v>
      </c>
      <c r="AS70" s="176">
        <v>88.158176327746247</v>
      </c>
      <c r="AT70" s="175">
        <v>37.501541654190014</v>
      </c>
      <c r="AU70" s="177">
        <v>39.224777209247094</v>
      </c>
      <c r="AV70" s="156">
        <v>2094.1232095726364</v>
      </c>
      <c r="AW70" s="172">
        <v>2396.5932974794609</v>
      </c>
      <c r="AX70" s="178">
        <v>0.94499999999999995</v>
      </c>
      <c r="AY70" s="179">
        <v>0</v>
      </c>
      <c r="AZ70" s="172">
        <v>1360.6194690265486</v>
      </c>
      <c r="BA70" s="175">
        <v>11984.261870282764</v>
      </c>
      <c r="BB70" s="175">
        <v>7150</v>
      </c>
      <c r="BC70" s="177">
        <v>9.804347826086957</v>
      </c>
      <c r="BD70" s="180"/>
      <c r="BE70" s="168"/>
      <c r="BF70" s="181"/>
    </row>
    <row r="71" spans="1:58" x14ac:dyDescent="0.2">
      <c r="A71" s="112">
        <v>79</v>
      </c>
      <c r="B71" s="166" t="s">
        <v>88</v>
      </c>
      <c r="C71" s="146">
        <v>4917900</v>
      </c>
      <c r="D71" s="146">
        <v>0</v>
      </c>
      <c r="E71" s="146">
        <v>838400</v>
      </c>
      <c r="F71" s="167">
        <v>234600</v>
      </c>
      <c r="G71" s="168"/>
      <c r="H71" s="168"/>
      <c r="I71" s="167">
        <v>0</v>
      </c>
      <c r="J71" s="167">
        <v>0</v>
      </c>
      <c r="K71" s="169">
        <v>0</v>
      </c>
      <c r="L71" s="150">
        <v>1.49</v>
      </c>
      <c r="M71" s="150">
        <v>1.49</v>
      </c>
      <c r="N71" s="167">
        <v>10279</v>
      </c>
      <c r="O71" s="167">
        <v>10323</v>
      </c>
      <c r="P71" s="170">
        <v>1962.0525999999995</v>
      </c>
      <c r="Q71" s="171">
        <v>1222</v>
      </c>
      <c r="R71" s="125">
        <v>31</v>
      </c>
      <c r="S71" s="172">
        <v>127482.85</v>
      </c>
      <c r="T71" s="157">
        <v>0</v>
      </c>
      <c r="U71" s="173">
        <v>0</v>
      </c>
      <c r="V71" s="172">
        <v>1752437</v>
      </c>
      <c r="W71" s="157">
        <v>39405</v>
      </c>
      <c r="X71" s="157">
        <v>309970</v>
      </c>
      <c r="Y71" s="173">
        <v>200774</v>
      </c>
      <c r="Z71" s="156">
        <v>1190745</v>
      </c>
      <c r="AA71" s="167">
        <v>11157</v>
      </c>
      <c r="AB71" s="157">
        <v>1571.1208192807828</v>
      </c>
      <c r="AC71" s="157">
        <v>41.222456788922386</v>
      </c>
      <c r="AD71" s="157">
        <v>130.47795505399358</v>
      </c>
      <c r="AE71" s="157">
        <v>78.054749874334064</v>
      </c>
      <c r="AF71" s="157">
        <v>45.26045010863573</v>
      </c>
      <c r="AG71" s="157">
        <v>32.680273697181953</v>
      </c>
      <c r="AH71" s="156">
        <v>1898.8167048038504</v>
      </c>
      <c r="AI71" s="157">
        <v>1647.516383701505</v>
      </c>
      <c r="AJ71" s="157">
        <v>43.725567502986848</v>
      </c>
      <c r="AK71" s="157">
        <v>124.37321192159902</v>
      </c>
      <c r="AL71" s="157">
        <v>81.085576910478679</v>
      </c>
      <c r="AM71" s="157">
        <v>39.318644450902518</v>
      </c>
      <c r="AN71" s="157">
        <v>53.254128321870262</v>
      </c>
      <c r="AO71" s="156">
        <v>1989.2735128093423</v>
      </c>
      <c r="AP71" s="174">
        <v>1609.3186014911439</v>
      </c>
      <c r="AQ71" s="175">
        <v>42.474012145954617</v>
      </c>
      <c r="AR71" s="176">
        <v>127.4255834877963</v>
      </c>
      <c r="AS71" s="176">
        <v>79.570163392406371</v>
      </c>
      <c r="AT71" s="175">
        <v>42.289547279769124</v>
      </c>
      <c r="AU71" s="177">
        <v>42.967201009526107</v>
      </c>
      <c r="AV71" s="156">
        <v>1944.0451088065965</v>
      </c>
      <c r="AW71" s="172">
        <v>2396.5932974794609</v>
      </c>
      <c r="AX71" s="178">
        <v>0.94499999999999995</v>
      </c>
      <c r="AY71" s="179">
        <v>0</v>
      </c>
      <c r="AZ71" s="172">
        <v>1360.6194690265486</v>
      </c>
      <c r="BA71" s="175">
        <v>11984.261870282764</v>
      </c>
      <c r="BB71" s="175">
        <v>7150</v>
      </c>
      <c r="BC71" s="177">
        <v>9.804347826086957</v>
      </c>
      <c r="BD71" s="180"/>
      <c r="BE71" s="168"/>
      <c r="BF71" s="181"/>
    </row>
    <row r="72" spans="1:58" x14ac:dyDescent="0.2">
      <c r="A72" s="112">
        <v>80</v>
      </c>
      <c r="B72" s="166" t="s">
        <v>89</v>
      </c>
      <c r="C72" s="146">
        <v>2646400</v>
      </c>
      <c r="D72" s="146">
        <v>636600</v>
      </c>
      <c r="E72" s="146">
        <v>731900</v>
      </c>
      <c r="F72" s="167">
        <v>55400</v>
      </c>
      <c r="G72" s="168"/>
      <c r="H72" s="168"/>
      <c r="I72" s="167">
        <v>1015000</v>
      </c>
      <c r="J72" s="167">
        <v>0</v>
      </c>
      <c r="K72" s="169">
        <v>509500</v>
      </c>
      <c r="L72" s="150">
        <v>1.62</v>
      </c>
      <c r="M72" s="150">
        <v>1.62</v>
      </c>
      <c r="N72" s="167">
        <v>3973</v>
      </c>
      <c r="O72" s="167">
        <v>3941</v>
      </c>
      <c r="P72" s="170">
        <v>1452.5502000000001</v>
      </c>
      <c r="Q72" s="171">
        <v>499</v>
      </c>
      <c r="R72" s="125">
        <v>15</v>
      </c>
      <c r="S72" s="172">
        <v>98968.3</v>
      </c>
      <c r="T72" s="157">
        <v>82256.350000000006</v>
      </c>
      <c r="U72" s="173">
        <v>32258</v>
      </c>
      <c r="V72" s="172">
        <v>306903.96000000002</v>
      </c>
      <c r="W72" s="157">
        <v>34700.449999999997</v>
      </c>
      <c r="X72" s="157">
        <v>16568.650000000001</v>
      </c>
      <c r="Y72" s="173">
        <v>29466.95</v>
      </c>
      <c r="Z72" s="156">
        <v>475047.80000000005</v>
      </c>
      <c r="AA72" s="167">
        <v>4900</v>
      </c>
      <c r="AB72" s="157">
        <v>1370.6332410201244</v>
      </c>
      <c r="AC72" s="157">
        <v>40.861380988337949</v>
      </c>
      <c r="AD72" s="157">
        <v>200.81510193808205</v>
      </c>
      <c r="AE72" s="157">
        <v>76.232577757652976</v>
      </c>
      <c r="AF72" s="157">
        <v>52.807030791173759</v>
      </c>
      <c r="AG72" s="157">
        <v>74.707240540313776</v>
      </c>
      <c r="AH72" s="156">
        <v>1816.0565730356848</v>
      </c>
      <c r="AI72" s="157">
        <v>1506.5756855779778</v>
      </c>
      <c r="AJ72" s="157">
        <v>46.987718853082974</v>
      </c>
      <c r="AK72" s="157">
        <v>167.33834898080013</v>
      </c>
      <c r="AL72" s="157">
        <v>81.413890180845669</v>
      </c>
      <c r="AM72" s="157">
        <v>39.111663706335115</v>
      </c>
      <c r="AN72" s="157">
        <v>39.244777129324198</v>
      </c>
      <c r="AO72" s="156">
        <v>1880.6720844283659</v>
      </c>
      <c r="AP72" s="174">
        <v>1438.6044632990511</v>
      </c>
      <c r="AQ72" s="175">
        <v>43.924549920710461</v>
      </c>
      <c r="AR72" s="176">
        <v>184.07672545944109</v>
      </c>
      <c r="AS72" s="176">
        <v>78.823233969249316</v>
      </c>
      <c r="AT72" s="175">
        <v>45.95934724875444</v>
      </c>
      <c r="AU72" s="177">
        <v>56.976008834818984</v>
      </c>
      <c r="AV72" s="156">
        <v>1848.3643287320253</v>
      </c>
      <c r="AW72" s="172">
        <v>2396.5932974794609</v>
      </c>
      <c r="AX72" s="178">
        <v>0.94499999999999995</v>
      </c>
      <c r="AY72" s="179">
        <v>0</v>
      </c>
      <c r="AZ72" s="172">
        <v>1360.6194690265486</v>
      </c>
      <c r="BA72" s="175">
        <v>11984.261870282764</v>
      </c>
      <c r="BB72" s="175">
        <v>7150</v>
      </c>
      <c r="BC72" s="177">
        <v>9.804347826086957</v>
      </c>
      <c r="BD72" s="180"/>
      <c r="BE72" s="168"/>
      <c r="BF72" s="181"/>
    </row>
    <row r="73" spans="1:58" x14ac:dyDescent="0.2">
      <c r="A73" s="112">
        <v>81</v>
      </c>
      <c r="B73" s="166" t="s">
        <v>90</v>
      </c>
      <c r="C73" s="146">
        <v>0</v>
      </c>
      <c r="D73" s="146">
        <v>0</v>
      </c>
      <c r="E73" s="146">
        <v>0</v>
      </c>
      <c r="F73" s="167">
        <v>2274700</v>
      </c>
      <c r="G73" s="168"/>
      <c r="H73" s="168"/>
      <c r="I73" s="167">
        <v>0</v>
      </c>
      <c r="J73" s="167">
        <v>0</v>
      </c>
      <c r="K73" s="169">
        <v>0</v>
      </c>
      <c r="L73" s="150">
        <v>1.24</v>
      </c>
      <c r="M73" s="150">
        <v>1.29</v>
      </c>
      <c r="N73" s="167">
        <v>23292</v>
      </c>
      <c r="O73" s="167">
        <v>23715</v>
      </c>
      <c r="P73" s="170">
        <v>3170.3930000000005</v>
      </c>
      <c r="Q73" s="171">
        <v>2460</v>
      </c>
      <c r="R73" s="125">
        <v>56</v>
      </c>
      <c r="S73" s="172">
        <v>783626.95</v>
      </c>
      <c r="T73" s="157">
        <v>298930.52</v>
      </c>
      <c r="U73" s="173">
        <v>37107.1</v>
      </c>
      <c r="V73" s="172">
        <v>5184353.5999999996</v>
      </c>
      <c r="W73" s="157">
        <v>241803.93</v>
      </c>
      <c r="X73" s="157">
        <v>464702.5</v>
      </c>
      <c r="Y73" s="173">
        <v>1011617.65</v>
      </c>
      <c r="Z73" s="156">
        <v>3967056.35</v>
      </c>
      <c r="AA73" s="167">
        <v>35974</v>
      </c>
      <c r="AB73" s="157">
        <v>2075.2575369816827</v>
      </c>
      <c r="AC73" s="157">
        <v>53.693421203274362</v>
      </c>
      <c r="AD73" s="157">
        <v>227.92091275974582</v>
      </c>
      <c r="AE73" s="157">
        <v>97.803037542558656</v>
      </c>
      <c r="AF73" s="157">
        <v>68.664824832560527</v>
      </c>
      <c r="AG73" s="157">
        <v>72.856641765413002</v>
      </c>
      <c r="AH73" s="156">
        <v>2596.1963750852351</v>
      </c>
      <c r="AI73" s="157">
        <v>2199.0433507937728</v>
      </c>
      <c r="AJ73" s="157">
        <v>56.270232623515355</v>
      </c>
      <c r="AK73" s="157">
        <v>262.70278023754304</v>
      </c>
      <c r="AL73" s="157">
        <v>99.947647004758196</v>
      </c>
      <c r="AM73" s="157">
        <v>46.121021856771385</v>
      </c>
      <c r="AN73" s="157">
        <v>51.202149132054252</v>
      </c>
      <c r="AO73" s="156">
        <v>2715.2871816484148</v>
      </c>
      <c r="AP73" s="174">
        <v>2137.1504438877278</v>
      </c>
      <c r="AQ73" s="175">
        <v>54.981826913394855</v>
      </c>
      <c r="AR73" s="176">
        <v>245.31184649864443</v>
      </c>
      <c r="AS73" s="176">
        <v>98.875342273658418</v>
      </c>
      <c r="AT73" s="175">
        <v>57.392923344665959</v>
      </c>
      <c r="AU73" s="177">
        <v>62.029395448733624</v>
      </c>
      <c r="AV73" s="156">
        <v>2655.7417783668257</v>
      </c>
      <c r="AW73" s="172">
        <v>2396.5932974794609</v>
      </c>
      <c r="AX73" s="178">
        <v>0.94499999999999995</v>
      </c>
      <c r="AY73" s="179">
        <v>-0.34525295813201673</v>
      </c>
      <c r="AZ73" s="172">
        <v>1360.6194690265486</v>
      </c>
      <c r="BA73" s="175">
        <v>11984.261870282764</v>
      </c>
      <c r="BB73" s="175">
        <v>7150</v>
      </c>
      <c r="BC73" s="177">
        <v>9.804347826086957</v>
      </c>
      <c r="BD73" s="180"/>
      <c r="BE73" s="168"/>
      <c r="BF73" s="181"/>
    </row>
    <row r="74" spans="1:58" x14ac:dyDescent="0.2">
      <c r="A74" s="112">
        <v>83</v>
      </c>
      <c r="B74" s="166" t="s">
        <v>91</v>
      </c>
      <c r="C74" s="146">
        <v>0</v>
      </c>
      <c r="D74" s="146">
        <v>0</v>
      </c>
      <c r="E74" s="146">
        <v>127000</v>
      </c>
      <c r="F74" s="167">
        <v>0</v>
      </c>
      <c r="G74" s="168"/>
      <c r="H74" s="168"/>
      <c r="I74" s="167">
        <v>0</v>
      </c>
      <c r="J74" s="167">
        <v>0</v>
      </c>
      <c r="K74" s="169">
        <v>0</v>
      </c>
      <c r="L74" s="150">
        <v>1</v>
      </c>
      <c r="M74" s="150">
        <v>1</v>
      </c>
      <c r="N74" s="167">
        <v>4741</v>
      </c>
      <c r="O74" s="167">
        <v>4783</v>
      </c>
      <c r="P74" s="170">
        <v>871.25099999999998</v>
      </c>
      <c r="Q74" s="171">
        <v>557</v>
      </c>
      <c r="R74" s="125">
        <v>10</v>
      </c>
      <c r="S74" s="172">
        <v>24865.65</v>
      </c>
      <c r="T74" s="157">
        <v>0</v>
      </c>
      <c r="U74" s="173">
        <v>0</v>
      </c>
      <c r="V74" s="172">
        <v>264660.3</v>
      </c>
      <c r="W74" s="157">
        <v>0</v>
      </c>
      <c r="X74" s="157">
        <v>22298.75</v>
      </c>
      <c r="Y74" s="173">
        <v>6179.75</v>
      </c>
      <c r="Z74" s="156">
        <v>368483.7</v>
      </c>
      <c r="AA74" s="167">
        <v>2943</v>
      </c>
      <c r="AB74" s="157">
        <v>2463.3987135216967</v>
      </c>
      <c r="AC74" s="157">
        <v>28.622414399212545</v>
      </c>
      <c r="AD74" s="157">
        <v>118.41296491598116</v>
      </c>
      <c r="AE74" s="157">
        <v>107.22515099294417</v>
      </c>
      <c r="AF74" s="157">
        <v>84.270287562398934</v>
      </c>
      <c r="AG74" s="157">
        <v>21.709934612950853</v>
      </c>
      <c r="AH74" s="156">
        <v>2823.6394660051847</v>
      </c>
      <c r="AI74" s="157">
        <v>2535.0449438219807</v>
      </c>
      <c r="AJ74" s="157">
        <v>27.403066415778099</v>
      </c>
      <c r="AK74" s="157">
        <v>134.69696842985573</v>
      </c>
      <c r="AL74" s="157">
        <v>110.0700013906613</v>
      </c>
      <c r="AM74" s="157">
        <v>56.732476130740821</v>
      </c>
      <c r="AN74" s="157">
        <v>52.241110878806879</v>
      </c>
      <c r="AO74" s="156">
        <v>2916.1885670678234</v>
      </c>
      <c r="AP74" s="174">
        <v>2499.2218286718389</v>
      </c>
      <c r="AQ74" s="175">
        <v>28.012740407495322</v>
      </c>
      <c r="AR74" s="176">
        <v>126.55496667291845</v>
      </c>
      <c r="AS74" s="176">
        <v>108.64757619180273</v>
      </c>
      <c r="AT74" s="175">
        <v>70.501381846569871</v>
      </c>
      <c r="AU74" s="177">
        <v>36.975522745878862</v>
      </c>
      <c r="AV74" s="156">
        <v>2869.9140165365043</v>
      </c>
      <c r="AW74" s="172">
        <v>2396.5932974794609</v>
      </c>
      <c r="AX74" s="178">
        <v>0.94499999999999995</v>
      </c>
      <c r="AY74" s="179">
        <v>-0.53438583212177693</v>
      </c>
      <c r="AZ74" s="172">
        <v>1360.6194690265486</v>
      </c>
      <c r="BA74" s="175">
        <v>11984.261870282764</v>
      </c>
      <c r="BB74" s="175">
        <v>7150</v>
      </c>
      <c r="BC74" s="177">
        <v>9.804347826086957</v>
      </c>
      <c r="BD74" s="180"/>
      <c r="BE74" s="168"/>
      <c r="BF74" s="181"/>
    </row>
    <row r="75" spans="1:58" x14ac:dyDescent="0.2">
      <c r="A75" s="112">
        <v>84</v>
      </c>
      <c r="B75" s="166" t="s">
        <v>92</v>
      </c>
      <c r="C75" s="146">
        <v>0</v>
      </c>
      <c r="D75" s="146">
        <v>736100</v>
      </c>
      <c r="E75" s="146">
        <v>579300</v>
      </c>
      <c r="F75" s="167">
        <v>0</v>
      </c>
      <c r="G75" s="168"/>
      <c r="H75" s="168"/>
      <c r="I75" s="167">
        <v>0</v>
      </c>
      <c r="J75" s="167">
        <v>0</v>
      </c>
      <c r="K75" s="169">
        <v>0</v>
      </c>
      <c r="L75" s="150">
        <v>1.1200000000000001</v>
      </c>
      <c r="M75" s="150">
        <v>1.1200000000000001</v>
      </c>
      <c r="N75" s="167">
        <v>4190</v>
      </c>
      <c r="O75" s="167">
        <v>4250</v>
      </c>
      <c r="P75" s="170">
        <v>1703.0645999999997</v>
      </c>
      <c r="Q75" s="171">
        <v>532</v>
      </c>
      <c r="R75" s="125">
        <v>6</v>
      </c>
      <c r="S75" s="172">
        <v>0</v>
      </c>
      <c r="T75" s="157">
        <v>29659.74</v>
      </c>
      <c r="U75" s="173">
        <v>0</v>
      </c>
      <c r="V75" s="172">
        <v>179177.75</v>
      </c>
      <c r="W75" s="157">
        <v>0</v>
      </c>
      <c r="X75" s="157">
        <v>56887.59</v>
      </c>
      <c r="Y75" s="173">
        <v>18894.7</v>
      </c>
      <c r="Z75" s="156">
        <v>305967.2</v>
      </c>
      <c r="AA75" s="167">
        <v>2690</v>
      </c>
      <c r="AB75" s="157">
        <v>1749.091121957639</v>
      </c>
      <c r="AC75" s="157">
        <v>35.720031821797939</v>
      </c>
      <c r="AD75" s="157">
        <v>305.14126491646783</v>
      </c>
      <c r="AE75" s="157">
        <v>100.87395574016061</v>
      </c>
      <c r="AF75" s="157">
        <v>39.453874303898168</v>
      </c>
      <c r="AG75" s="157">
        <v>55.481463802704852</v>
      </c>
      <c r="AH75" s="156">
        <v>2285.7617125426682</v>
      </c>
      <c r="AI75" s="157">
        <v>1914.1996165964783</v>
      </c>
      <c r="AJ75" s="157">
        <v>45.483756862745096</v>
      </c>
      <c r="AK75" s="157">
        <v>341.25443921568632</v>
      </c>
      <c r="AL75" s="157">
        <v>105.07810961978007</v>
      </c>
      <c r="AM75" s="157">
        <v>151.23547450980394</v>
      </c>
      <c r="AN75" s="157">
        <v>40.473043137254898</v>
      </c>
      <c r="AO75" s="156">
        <v>2597.7244399417491</v>
      </c>
      <c r="AP75" s="174">
        <v>1831.6453692770588</v>
      </c>
      <c r="AQ75" s="175">
        <v>40.601894342271521</v>
      </c>
      <c r="AR75" s="176">
        <v>323.19785206607708</v>
      </c>
      <c r="AS75" s="176">
        <v>102.97603267997033</v>
      </c>
      <c r="AT75" s="175">
        <v>95.344674406851055</v>
      </c>
      <c r="AU75" s="177">
        <v>47.977253469979871</v>
      </c>
      <c r="AV75" s="156">
        <v>2441.7430762422091</v>
      </c>
      <c r="AW75" s="172">
        <v>2396.5932974794609</v>
      </c>
      <c r="AX75" s="178">
        <v>0.94499999999999995</v>
      </c>
      <c r="AY75" s="179">
        <v>-0.15627333169303148</v>
      </c>
      <c r="AZ75" s="172">
        <v>1360.6194690265486</v>
      </c>
      <c r="BA75" s="175">
        <v>11984.261870282764</v>
      </c>
      <c r="BB75" s="175">
        <v>7150</v>
      </c>
      <c r="BC75" s="177">
        <v>9.804347826086957</v>
      </c>
      <c r="BD75" s="180"/>
      <c r="BE75" s="168"/>
      <c r="BF75" s="181"/>
    </row>
    <row r="76" spans="1:58" x14ac:dyDescent="0.2">
      <c r="A76" s="112">
        <v>85</v>
      </c>
      <c r="B76" s="166" t="s">
        <v>93</v>
      </c>
      <c r="C76" s="146">
        <v>1221100</v>
      </c>
      <c r="D76" s="146">
        <v>636800</v>
      </c>
      <c r="E76" s="146">
        <v>400100</v>
      </c>
      <c r="F76" s="167">
        <v>36400</v>
      </c>
      <c r="G76" s="168"/>
      <c r="H76" s="168"/>
      <c r="I76" s="167">
        <v>0</v>
      </c>
      <c r="J76" s="167">
        <v>0</v>
      </c>
      <c r="K76" s="169">
        <v>0</v>
      </c>
      <c r="L76" s="150">
        <v>1.57</v>
      </c>
      <c r="M76" s="150">
        <v>1.57</v>
      </c>
      <c r="N76" s="167">
        <v>1499</v>
      </c>
      <c r="O76" s="167">
        <v>1515</v>
      </c>
      <c r="P76" s="170">
        <v>846.54199999999992</v>
      </c>
      <c r="Q76" s="171">
        <v>201</v>
      </c>
      <c r="R76" s="125">
        <v>7</v>
      </c>
      <c r="S76" s="172">
        <v>77567.199999999997</v>
      </c>
      <c r="T76" s="157">
        <v>39617.449999999997</v>
      </c>
      <c r="U76" s="173">
        <v>0</v>
      </c>
      <c r="V76" s="172">
        <v>79640.7</v>
      </c>
      <c r="W76" s="157">
        <v>0</v>
      </c>
      <c r="X76" s="157">
        <v>38496</v>
      </c>
      <c r="Y76" s="173">
        <v>0</v>
      </c>
      <c r="Z76" s="156">
        <v>98652.849999999991</v>
      </c>
      <c r="AA76" s="167">
        <v>1310</v>
      </c>
      <c r="AB76" s="157">
        <v>1456.1491384507328</v>
      </c>
      <c r="AC76" s="157">
        <v>28.395730486991326</v>
      </c>
      <c r="AD76" s="157">
        <v>37.849766511007338</v>
      </c>
      <c r="AE76" s="157">
        <v>89.22822381757581</v>
      </c>
      <c r="AF76" s="157">
        <v>71.82152546141873</v>
      </c>
      <c r="AG76" s="157">
        <v>38.760529241716696</v>
      </c>
      <c r="AH76" s="156">
        <v>1722.2049139694429</v>
      </c>
      <c r="AI76" s="157">
        <v>1585.2879921794731</v>
      </c>
      <c r="AJ76" s="157">
        <v>34.611177117711769</v>
      </c>
      <c r="AK76" s="157">
        <v>38.274015401540154</v>
      </c>
      <c r="AL76" s="157">
        <v>92.761340714322742</v>
      </c>
      <c r="AM76" s="157">
        <v>22.233355335533552</v>
      </c>
      <c r="AN76" s="157">
        <v>-11.474873487348736</v>
      </c>
      <c r="AO76" s="156">
        <v>1761.6930072612327</v>
      </c>
      <c r="AP76" s="174">
        <v>1520.718565315103</v>
      </c>
      <c r="AQ76" s="175">
        <v>31.503453802351547</v>
      </c>
      <c r="AR76" s="176">
        <v>38.061890956273743</v>
      </c>
      <c r="AS76" s="176">
        <v>90.994782265949283</v>
      </c>
      <c r="AT76" s="175">
        <v>47.027440398476145</v>
      </c>
      <c r="AU76" s="177">
        <v>13.642827877183979</v>
      </c>
      <c r="AV76" s="156">
        <v>1741.9489606153375</v>
      </c>
      <c r="AW76" s="172">
        <v>2396.5932974794609</v>
      </c>
      <c r="AX76" s="178">
        <v>0.94499999999999995</v>
      </c>
      <c r="AY76" s="179">
        <v>0</v>
      </c>
      <c r="AZ76" s="172">
        <v>1360.6194690265486</v>
      </c>
      <c r="BA76" s="175">
        <v>11984.261870282764</v>
      </c>
      <c r="BB76" s="175">
        <v>7150</v>
      </c>
      <c r="BC76" s="177">
        <v>9.804347826086957</v>
      </c>
      <c r="BD76" s="180"/>
      <c r="BE76" s="168"/>
      <c r="BF76" s="181"/>
    </row>
    <row r="77" spans="1:58" x14ac:dyDescent="0.2">
      <c r="A77" s="112">
        <v>86</v>
      </c>
      <c r="B77" s="166" t="s">
        <v>94</v>
      </c>
      <c r="C77" s="146">
        <v>1427100</v>
      </c>
      <c r="D77" s="146">
        <v>744700</v>
      </c>
      <c r="E77" s="146">
        <v>1726300</v>
      </c>
      <c r="F77" s="167">
        <v>0</v>
      </c>
      <c r="G77" s="168"/>
      <c r="H77" s="168"/>
      <c r="I77" s="167">
        <v>0</v>
      </c>
      <c r="J77" s="167">
        <v>0</v>
      </c>
      <c r="K77" s="169">
        <v>0</v>
      </c>
      <c r="L77" s="150">
        <v>1.29</v>
      </c>
      <c r="M77" s="150">
        <v>1.26</v>
      </c>
      <c r="N77" s="167">
        <v>2918</v>
      </c>
      <c r="O77" s="167">
        <v>2954</v>
      </c>
      <c r="P77" s="170">
        <v>1285.3709999999999</v>
      </c>
      <c r="Q77" s="171">
        <v>474</v>
      </c>
      <c r="R77" s="125">
        <v>7</v>
      </c>
      <c r="S77" s="172">
        <v>0</v>
      </c>
      <c r="T77" s="157">
        <v>-6234.8</v>
      </c>
      <c r="U77" s="173">
        <v>25639.1</v>
      </c>
      <c r="V77" s="172">
        <v>194792.9</v>
      </c>
      <c r="W77" s="157">
        <v>0</v>
      </c>
      <c r="X77" s="157">
        <v>53531</v>
      </c>
      <c r="Y77" s="173">
        <v>0</v>
      </c>
      <c r="Z77" s="156">
        <v>230270.15</v>
      </c>
      <c r="AA77" s="167">
        <v>2346</v>
      </c>
      <c r="AB77" s="157">
        <v>1653.8226918347809</v>
      </c>
      <c r="AC77" s="157">
        <v>26.937788439570486</v>
      </c>
      <c r="AD77" s="157">
        <v>36.962131596984236</v>
      </c>
      <c r="AE77" s="157">
        <v>89.052503334884321</v>
      </c>
      <c r="AF77" s="157">
        <v>37.874411697509707</v>
      </c>
      <c r="AG77" s="157">
        <v>55.97517706191455</v>
      </c>
      <c r="AH77" s="156">
        <v>1900.6247039656441</v>
      </c>
      <c r="AI77" s="157">
        <v>1652.2473860071862</v>
      </c>
      <c r="AJ77" s="157">
        <v>22.525976077634841</v>
      </c>
      <c r="AK77" s="157">
        <v>38.452222974497865</v>
      </c>
      <c r="AL77" s="157">
        <v>93.233915472161812</v>
      </c>
      <c r="AM77" s="157">
        <v>49.22457684495599</v>
      </c>
      <c r="AN77" s="157">
        <v>28.446434213495824</v>
      </c>
      <c r="AO77" s="156">
        <v>1884.1305115899322</v>
      </c>
      <c r="AP77" s="174">
        <v>1653.0350389209834</v>
      </c>
      <c r="AQ77" s="175">
        <v>24.731882258602663</v>
      </c>
      <c r="AR77" s="176">
        <v>37.707177285741054</v>
      </c>
      <c r="AS77" s="176">
        <v>91.143209403523059</v>
      </c>
      <c r="AT77" s="175">
        <v>43.549494271232845</v>
      </c>
      <c r="AU77" s="177">
        <v>42.210805637705185</v>
      </c>
      <c r="AV77" s="156">
        <v>1892.3776077777879</v>
      </c>
      <c r="AW77" s="172">
        <v>2396.5932974794609</v>
      </c>
      <c r="AX77" s="178">
        <v>0.94499999999999995</v>
      </c>
      <c r="AY77" s="179">
        <v>0</v>
      </c>
      <c r="AZ77" s="172">
        <v>1360.6194690265486</v>
      </c>
      <c r="BA77" s="175">
        <v>11984.261870282764</v>
      </c>
      <c r="BB77" s="175">
        <v>7150</v>
      </c>
      <c r="BC77" s="177">
        <v>9.804347826086957</v>
      </c>
      <c r="BD77" s="180"/>
      <c r="BE77" s="168"/>
      <c r="BF77" s="181"/>
    </row>
    <row r="78" spans="1:58" x14ac:dyDescent="0.2">
      <c r="A78" s="112">
        <v>87</v>
      </c>
      <c r="B78" s="166" t="s">
        <v>95</v>
      </c>
      <c r="C78" s="146">
        <v>0</v>
      </c>
      <c r="D78" s="146">
        <v>0</v>
      </c>
      <c r="E78" s="146">
        <v>70700</v>
      </c>
      <c r="F78" s="167">
        <v>117200</v>
      </c>
      <c r="G78" s="168"/>
      <c r="H78" s="168"/>
      <c r="I78" s="167">
        <v>0</v>
      </c>
      <c r="J78" s="167">
        <v>0</v>
      </c>
      <c r="K78" s="169">
        <v>0</v>
      </c>
      <c r="L78" s="150">
        <v>1.1599999999999999</v>
      </c>
      <c r="M78" s="150">
        <v>1.26</v>
      </c>
      <c r="N78" s="167">
        <v>18087</v>
      </c>
      <c r="O78" s="167">
        <v>18053</v>
      </c>
      <c r="P78" s="170">
        <v>3061.0904</v>
      </c>
      <c r="Q78" s="171">
        <v>1928</v>
      </c>
      <c r="R78" s="125">
        <v>63</v>
      </c>
      <c r="S78" s="172">
        <v>622327.05000000005</v>
      </c>
      <c r="T78" s="157">
        <v>154143.75</v>
      </c>
      <c r="U78" s="173">
        <v>44869.35</v>
      </c>
      <c r="V78" s="172">
        <v>1545297.3499999999</v>
      </c>
      <c r="W78" s="157">
        <v>24739.7</v>
      </c>
      <c r="X78" s="157">
        <v>221222.84</v>
      </c>
      <c r="Y78" s="173">
        <v>146486.70000000001</v>
      </c>
      <c r="Z78" s="156">
        <v>2202120.9499999997</v>
      </c>
      <c r="AA78" s="167">
        <v>664</v>
      </c>
      <c r="AB78" s="157">
        <v>1975.0172491338781</v>
      </c>
      <c r="AC78" s="157">
        <v>36.816112861908181</v>
      </c>
      <c r="AD78" s="157">
        <v>205.48302648310943</v>
      </c>
      <c r="AE78" s="157">
        <v>98.015073115202341</v>
      </c>
      <c r="AF78" s="157">
        <v>51.54806767291425</v>
      </c>
      <c r="AG78" s="157">
        <v>30.91223899301524</v>
      </c>
      <c r="AH78" s="156">
        <v>2397.7917682600278</v>
      </c>
      <c r="AI78" s="157">
        <v>2075.605266375208</v>
      </c>
      <c r="AJ78" s="157">
        <v>37.642511863217564</v>
      </c>
      <c r="AK78" s="157">
        <v>202.46001033992505</v>
      </c>
      <c r="AL78" s="157">
        <v>100.68736844116151</v>
      </c>
      <c r="AM78" s="157">
        <v>44.796395797559043</v>
      </c>
      <c r="AN78" s="157">
        <v>26.080983770010526</v>
      </c>
      <c r="AO78" s="156">
        <v>2487.2725365870815</v>
      </c>
      <c r="AP78" s="174">
        <v>2025.311257754543</v>
      </c>
      <c r="AQ78" s="175">
        <v>37.229312362562872</v>
      </c>
      <c r="AR78" s="176">
        <v>203.97151841151725</v>
      </c>
      <c r="AS78" s="176">
        <v>99.351220778181926</v>
      </c>
      <c r="AT78" s="175">
        <v>48.17223173523665</v>
      </c>
      <c r="AU78" s="177">
        <v>28.496611381512885</v>
      </c>
      <c r="AV78" s="156">
        <v>2442.5321524235542</v>
      </c>
      <c r="AW78" s="172">
        <v>2396.5932974794609</v>
      </c>
      <c r="AX78" s="178">
        <v>0.94499999999999995</v>
      </c>
      <c r="AY78" s="179">
        <v>-0.15697015518075369</v>
      </c>
      <c r="AZ78" s="172">
        <v>1360.6194690265486</v>
      </c>
      <c r="BA78" s="175">
        <v>11984.261870282764</v>
      </c>
      <c r="BB78" s="175">
        <v>7150</v>
      </c>
      <c r="BC78" s="177">
        <v>9.804347826086957</v>
      </c>
      <c r="BD78" s="180"/>
      <c r="BE78" s="168"/>
      <c r="BF78" s="181"/>
    </row>
    <row r="79" spans="1:58" x14ac:dyDescent="0.2">
      <c r="A79" s="112">
        <v>88</v>
      </c>
      <c r="B79" s="166" t="s">
        <v>96</v>
      </c>
      <c r="C79" s="146">
        <v>0</v>
      </c>
      <c r="D79" s="146">
        <v>223500</v>
      </c>
      <c r="E79" s="146">
        <v>966700</v>
      </c>
      <c r="F79" s="167">
        <v>28200</v>
      </c>
      <c r="G79" s="168"/>
      <c r="H79" s="168"/>
      <c r="I79" s="167">
        <v>0</v>
      </c>
      <c r="J79" s="167">
        <v>0</v>
      </c>
      <c r="K79" s="169">
        <v>0</v>
      </c>
      <c r="L79" s="150">
        <v>1.37</v>
      </c>
      <c r="M79" s="150">
        <v>1.37</v>
      </c>
      <c r="N79" s="167">
        <v>1925</v>
      </c>
      <c r="O79" s="167">
        <v>1912</v>
      </c>
      <c r="P79" s="170">
        <v>653.74020000000007</v>
      </c>
      <c r="Q79" s="171">
        <v>300</v>
      </c>
      <c r="R79" s="125">
        <v>4</v>
      </c>
      <c r="S79" s="172">
        <v>96649.25</v>
      </c>
      <c r="T79" s="157">
        <v>0</v>
      </c>
      <c r="U79" s="173">
        <v>19105.900000000001</v>
      </c>
      <c r="V79" s="172">
        <v>195859.5</v>
      </c>
      <c r="W79" s="157">
        <v>0</v>
      </c>
      <c r="X79" s="157">
        <v>15323.35</v>
      </c>
      <c r="Y79" s="173">
        <v>0</v>
      </c>
      <c r="Z79" s="156">
        <v>204463.25</v>
      </c>
      <c r="AA79" s="167">
        <v>19</v>
      </c>
      <c r="AB79" s="157">
        <v>1766.049575550395</v>
      </c>
      <c r="AC79" s="157">
        <v>27.374770562770561</v>
      </c>
      <c r="AD79" s="157">
        <v>80.459584415584416</v>
      </c>
      <c r="AE79" s="157">
        <v>93.688314066149943</v>
      </c>
      <c r="AF79" s="157">
        <v>60.671861471861469</v>
      </c>
      <c r="AG79" s="157">
        <v>204.75696969696972</v>
      </c>
      <c r="AH79" s="156">
        <v>2233.0010757637315</v>
      </c>
      <c r="AI79" s="157">
        <v>2082.9675616399099</v>
      </c>
      <c r="AJ79" s="157">
        <v>28.039905857740582</v>
      </c>
      <c r="AK79" s="157">
        <v>67.549686192468613</v>
      </c>
      <c r="AL79" s="157">
        <v>97.929193717931213</v>
      </c>
      <c r="AM79" s="157">
        <v>32.235024407252439</v>
      </c>
      <c r="AN79" s="157">
        <v>139.02186192468619</v>
      </c>
      <c r="AO79" s="156">
        <v>2447.7432337399887</v>
      </c>
      <c r="AP79" s="174">
        <v>1924.5085685951526</v>
      </c>
      <c r="AQ79" s="175">
        <v>27.707338210255571</v>
      </c>
      <c r="AR79" s="176">
        <v>74.004635304026522</v>
      </c>
      <c r="AS79" s="176">
        <v>95.808753892040585</v>
      </c>
      <c r="AT79" s="175">
        <v>46.45344293955695</v>
      </c>
      <c r="AU79" s="177">
        <v>171.88941581082796</v>
      </c>
      <c r="AV79" s="156">
        <v>2340.3721547518603</v>
      </c>
      <c r="AW79" s="172">
        <v>2396.5932974794609</v>
      </c>
      <c r="AX79" s="178">
        <v>0.94499999999999995</v>
      </c>
      <c r="AY79" s="179">
        <v>-6.6753915524487673E-2</v>
      </c>
      <c r="AZ79" s="172">
        <v>1360.6194690265486</v>
      </c>
      <c r="BA79" s="175">
        <v>11984.261870282764</v>
      </c>
      <c r="BB79" s="175">
        <v>7150</v>
      </c>
      <c r="BC79" s="177">
        <v>9.804347826086957</v>
      </c>
      <c r="BD79" s="180"/>
      <c r="BE79" s="168"/>
      <c r="BF79" s="181"/>
    </row>
    <row r="80" spans="1:58" x14ac:dyDescent="0.2">
      <c r="A80" s="112">
        <v>89</v>
      </c>
      <c r="B80" s="166" t="s">
        <v>97</v>
      </c>
      <c r="C80" s="146">
        <v>963500</v>
      </c>
      <c r="D80" s="146">
        <v>1934500</v>
      </c>
      <c r="E80" s="146">
        <v>1534600</v>
      </c>
      <c r="F80" s="167">
        <v>0</v>
      </c>
      <c r="G80" s="168"/>
      <c r="H80" s="168"/>
      <c r="I80" s="167">
        <v>0</v>
      </c>
      <c r="J80" s="167">
        <v>0</v>
      </c>
      <c r="K80" s="169">
        <v>0</v>
      </c>
      <c r="L80" s="150">
        <v>1.4</v>
      </c>
      <c r="M80" s="150">
        <v>1.4</v>
      </c>
      <c r="N80" s="167">
        <v>3483</v>
      </c>
      <c r="O80" s="167">
        <v>3518</v>
      </c>
      <c r="P80" s="170">
        <v>2300.7715999999996</v>
      </c>
      <c r="Q80" s="171">
        <v>521</v>
      </c>
      <c r="R80" s="125">
        <v>7</v>
      </c>
      <c r="S80" s="172">
        <v>92436.95</v>
      </c>
      <c r="T80" s="157">
        <v>0</v>
      </c>
      <c r="U80" s="173">
        <v>0</v>
      </c>
      <c r="V80" s="172">
        <v>165443.20000000001</v>
      </c>
      <c r="W80" s="157">
        <v>0</v>
      </c>
      <c r="X80" s="157">
        <v>71876.350000000006</v>
      </c>
      <c r="Y80" s="173">
        <v>1168.8</v>
      </c>
      <c r="Z80" s="156">
        <v>304585.69999999995</v>
      </c>
      <c r="AA80" s="167">
        <v>2080</v>
      </c>
      <c r="AB80" s="157">
        <v>1720.2835215283587</v>
      </c>
      <c r="AC80" s="157">
        <v>33.102622260503402</v>
      </c>
      <c r="AD80" s="157">
        <v>73.171403962101635</v>
      </c>
      <c r="AE80" s="157">
        <v>88.124706813975536</v>
      </c>
      <c r="AF80" s="157">
        <v>41.143487415063639</v>
      </c>
      <c r="AG80" s="157">
        <v>52.781921714996649</v>
      </c>
      <c r="AH80" s="156">
        <v>2008.6076636949995</v>
      </c>
      <c r="AI80" s="157">
        <v>1823.3571656884008</v>
      </c>
      <c r="AJ80" s="157">
        <v>35.354159560356266</v>
      </c>
      <c r="AK80" s="157">
        <v>68.250217926852386</v>
      </c>
      <c r="AL80" s="157">
        <v>90.449944048492995</v>
      </c>
      <c r="AM80" s="157">
        <v>56.297697555429224</v>
      </c>
      <c r="AN80" s="157">
        <v>56.806793632745887</v>
      </c>
      <c r="AO80" s="156">
        <v>2130.5159784122775</v>
      </c>
      <c r="AP80" s="174">
        <v>1771.8203436083797</v>
      </c>
      <c r="AQ80" s="175">
        <v>34.228390910429837</v>
      </c>
      <c r="AR80" s="176">
        <v>70.710810944477004</v>
      </c>
      <c r="AS80" s="176">
        <v>89.287325431234265</v>
      </c>
      <c r="AT80" s="175">
        <v>48.720592485246428</v>
      </c>
      <c r="AU80" s="177">
        <v>54.794357673871268</v>
      </c>
      <c r="AV80" s="156">
        <v>2069.5618210536386</v>
      </c>
      <c r="AW80" s="172">
        <v>2396.5932974794609</v>
      </c>
      <c r="AX80" s="178">
        <v>0.94499999999999995</v>
      </c>
      <c r="AY80" s="179">
        <v>0</v>
      </c>
      <c r="AZ80" s="172">
        <v>1360.6194690265486</v>
      </c>
      <c r="BA80" s="175">
        <v>11984.261870282764</v>
      </c>
      <c r="BB80" s="175">
        <v>7150</v>
      </c>
      <c r="BC80" s="177">
        <v>9.804347826086957</v>
      </c>
      <c r="BD80" s="180"/>
      <c r="BE80" s="168"/>
      <c r="BF80" s="181"/>
    </row>
    <row r="81" spans="1:58" x14ac:dyDescent="0.2">
      <c r="A81" s="112">
        <v>90</v>
      </c>
      <c r="B81" s="166" t="s">
        <v>98</v>
      </c>
      <c r="C81" s="146">
        <v>0</v>
      </c>
      <c r="D81" s="146">
        <v>0</v>
      </c>
      <c r="E81" s="146">
        <v>322700</v>
      </c>
      <c r="F81" s="182">
        <v>0</v>
      </c>
      <c r="G81" s="168"/>
      <c r="H81" s="168"/>
      <c r="I81" s="167">
        <v>0</v>
      </c>
      <c r="J81" s="167">
        <v>0</v>
      </c>
      <c r="K81" s="169">
        <v>0</v>
      </c>
      <c r="L81" s="150">
        <v>1.1499999999999999</v>
      </c>
      <c r="M81" s="150">
        <v>1.1499999999999999</v>
      </c>
      <c r="N81" s="167">
        <v>8033</v>
      </c>
      <c r="O81" s="167">
        <v>8139</v>
      </c>
      <c r="P81" s="170">
        <v>1675.2980000000005</v>
      </c>
      <c r="Q81" s="171">
        <v>943</v>
      </c>
      <c r="R81" s="125">
        <v>34</v>
      </c>
      <c r="S81" s="172">
        <v>100646.25</v>
      </c>
      <c r="T81" s="157">
        <v>49500</v>
      </c>
      <c r="U81" s="173">
        <v>62599</v>
      </c>
      <c r="V81" s="172">
        <v>1252432</v>
      </c>
      <c r="W81" s="157">
        <v>20250</v>
      </c>
      <c r="X81" s="157">
        <v>66245</v>
      </c>
      <c r="Y81" s="173">
        <v>92502</v>
      </c>
      <c r="Z81" s="156">
        <v>576906.9</v>
      </c>
      <c r="AA81" s="167">
        <v>7798</v>
      </c>
      <c r="AB81" s="157">
        <v>2289.8179882659847</v>
      </c>
      <c r="AC81" s="157">
        <v>26.577808207809451</v>
      </c>
      <c r="AD81" s="157">
        <v>49.73923814266152</v>
      </c>
      <c r="AE81" s="157">
        <v>94.887784393095146</v>
      </c>
      <c r="AF81" s="157">
        <v>57.239478816548406</v>
      </c>
      <c r="AG81" s="157">
        <v>73.138395784057423</v>
      </c>
      <c r="AH81" s="156">
        <v>2591.4006936101568</v>
      </c>
      <c r="AI81" s="157">
        <v>2326.5166905232973</v>
      </c>
      <c r="AJ81" s="157">
        <v>26.422631772945085</v>
      </c>
      <c r="AK81" s="157">
        <v>67.984043903837488</v>
      </c>
      <c r="AL81" s="157">
        <v>103.94359770962065</v>
      </c>
      <c r="AM81" s="157">
        <v>60.514141786460257</v>
      </c>
      <c r="AN81" s="157">
        <v>107.7396649875087</v>
      </c>
      <c r="AO81" s="156">
        <v>2693.120770683669</v>
      </c>
      <c r="AP81" s="174">
        <v>2308.1673393946412</v>
      </c>
      <c r="AQ81" s="175">
        <v>26.500219990377268</v>
      </c>
      <c r="AR81" s="176">
        <v>58.861641023249504</v>
      </c>
      <c r="AS81" s="176">
        <v>99.415691051357896</v>
      </c>
      <c r="AT81" s="175">
        <v>58.876810301504335</v>
      </c>
      <c r="AU81" s="177">
        <v>90.43903038578307</v>
      </c>
      <c r="AV81" s="156">
        <v>2642.2607321469136</v>
      </c>
      <c r="AW81" s="172">
        <v>2396.5932974794609</v>
      </c>
      <c r="AX81" s="178">
        <v>0.94499999999999995</v>
      </c>
      <c r="AY81" s="179">
        <v>-0.3333480117311638</v>
      </c>
      <c r="AZ81" s="172">
        <v>1360.6194690265486</v>
      </c>
      <c r="BA81" s="175">
        <v>11984.261870282764</v>
      </c>
      <c r="BB81" s="175">
        <v>7150</v>
      </c>
      <c r="BC81" s="177">
        <v>9.804347826086957</v>
      </c>
      <c r="BD81" s="180"/>
      <c r="BE81" s="168"/>
      <c r="BF81" s="181"/>
    </row>
    <row r="82" spans="1:58" s="114" customFormat="1" x14ac:dyDescent="0.2">
      <c r="A82" s="183"/>
      <c r="B82" s="184" t="s">
        <v>99</v>
      </c>
      <c r="C82" s="185">
        <f>SUM(C5:C81)</f>
        <v>99037500</v>
      </c>
      <c r="D82" s="185">
        <f t="shared" ref="D82:F82" si="0">SUM(D5:D81)</f>
        <v>41238400</v>
      </c>
      <c r="E82" s="185">
        <f t="shared" si="0"/>
        <v>38289200</v>
      </c>
      <c r="F82" s="185">
        <f t="shared" si="0"/>
        <v>19459600</v>
      </c>
      <c r="G82" s="186">
        <v>7559000</v>
      </c>
      <c r="H82" s="186">
        <v>9070800</v>
      </c>
      <c r="I82" s="186">
        <v>1533600</v>
      </c>
      <c r="J82" s="186">
        <v>433200</v>
      </c>
      <c r="K82" s="186">
        <v>509500</v>
      </c>
      <c r="L82" s="183"/>
      <c r="M82" s="187"/>
      <c r="N82" s="188">
        <v>491699</v>
      </c>
      <c r="O82" s="188">
        <v>495824</v>
      </c>
      <c r="P82" s="189">
        <v>123881.56939999993</v>
      </c>
      <c r="Q82" s="190">
        <v>55382</v>
      </c>
      <c r="R82" s="188">
        <v>1408</v>
      </c>
      <c r="S82" s="120">
        <v>12411347.630000001</v>
      </c>
      <c r="T82" s="121">
        <v>2256998.4699999997</v>
      </c>
      <c r="U82" s="122">
        <v>2036786.1000000006</v>
      </c>
      <c r="V82" s="120">
        <v>71697819.620000035</v>
      </c>
      <c r="W82" s="120">
        <v>2081291.2699999996</v>
      </c>
      <c r="X82" s="120">
        <v>8661449.6100000013</v>
      </c>
      <c r="Y82" s="120">
        <v>8744416.4299999997</v>
      </c>
      <c r="Z82" s="120">
        <v>61240278.149999984</v>
      </c>
      <c r="AA82" s="191">
        <v>475339</v>
      </c>
      <c r="AB82" s="120">
        <v>1846.1558063293862</v>
      </c>
      <c r="AC82" s="121">
        <v>87.215687103966715</v>
      </c>
      <c r="AD82" s="121">
        <v>197.24949532132459</v>
      </c>
      <c r="AE82" s="121">
        <v>98.241434102299706</v>
      </c>
      <c r="AF82" s="121">
        <v>60.103538967267923</v>
      </c>
      <c r="AG82" s="122">
        <v>57.852311339525485</v>
      </c>
      <c r="AH82" s="123">
        <v>2346.8182731637703</v>
      </c>
      <c r="AI82" s="120">
        <v>1938.1894843044283</v>
      </c>
      <c r="AJ82" s="121">
        <v>93.832570024847499</v>
      </c>
      <c r="AK82" s="121">
        <v>196.89384620349151</v>
      </c>
      <c r="AL82" s="121">
        <v>102.14089494121568</v>
      </c>
      <c r="AM82" s="121">
        <v>56.823648364473414</v>
      </c>
      <c r="AN82" s="122">
        <v>58.487877956694334</v>
      </c>
      <c r="AO82" s="123">
        <v>2446.3683217951507</v>
      </c>
      <c r="AP82" s="120">
        <v>1892.1726453169072</v>
      </c>
      <c r="AQ82" s="121">
        <v>90.524128564407107</v>
      </c>
      <c r="AR82" s="121">
        <v>197.07167076240805</v>
      </c>
      <c r="AS82" s="121">
        <v>100.19116452175768</v>
      </c>
      <c r="AT82" s="121">
        <v>58.463593665870668</v>
      </c>
      <c r="AU82" s="122">
        <v>58.170094648109909</v>
      </c>
      <c r="AV82" s="123">
        <v>2396.5932974794609</v>
      </c>
      <c r="AW82" s="190"/>
      <c r="AX82" s="190"/>
      <c r="AY82" s="191"/>
      <c r="AZ82" s="190"/>
      <c r="BA82" s="188"/>
      <c r="BB82" s="188"/>
      <c r="BC82" s="191"/>
      <c r="BD82" s="183"/>
      <c r="BE82" s="187"/>
      <c r="BF82" s="192"/>
    </row>
  </sheetData>
  <sheetProtection algorithmName="SHA-512" hashValue="ghTDqWWAqFspnGZBAi32YQZv225vwg++aiwT9t68GiIdvIR8Qt4w089sgz4GrkIh/Dt7hgso7XSakfCsmcxNRw==" saltValue="xq0/i5lkzBsxygvpF+qLCQ==" spinCount="100000" sheet="1" objects="1" scenarios="1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FAG2016</vt:lpstr>
      <vt:lpstr>Basis</vt:lpstr>
    </vt:vector>
  </TitlesOfParts>
  <Company>Kanton St.Gallen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Schaible</dc:creator>
  <cp:lastModifiedBy>Schaible, Bruno</cp:lastModifiedBy>
  <cp:lastPrinted>2014-02-27T06:06:51Z</cp:lastPrinted>
  <dcterms:created xsi:type="dcterms:W3CDTF">2014-01-09T08:02:10Z</dcterms:created>
  <dcterms:modified xsi:type="dcterms:W3CDTF">2017-07-10T13:42:54Z</dcterms:modified>
</cp:coreProperties>
</file>